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mc:AlternateContent xmlns:mc="http://schemas.openxmlformats.org/markup-compatibility/2006">
    <mc:Choice Requires="x15">
      <x15ac:absPath xmlns:x15ac="http://schemas.microsoft.com/office/spreadsheetml/2010/11/ac" url="L:\CF\_Publications annuelles\Factbook\Factbook 2017\Maquette\"/>
    </mc:Choice>
  </mc:AlternateContent>
  <bookViews>
    <workbookView xWindow="0" yWindow="0" windowWidth="25200" windowHeight="10485" tabRatio="931"/>
  </bookViews>
  <sheets>
    <sheet name="Summary" sheetId="159" r:id="rId1"/>
    <sheet name="Note on FS (p7)" sheetId="163" r:id="rId2"/>
    <sheet name="Financial highlights (p7)" sheetId="164" r:id="rId3"/>
    <sheet name="Market environment (p7)" sheetId="165" r:id="rId4"/>
    <sheet name="Op. High. by quarter (p8-9)" sheetId="166" r:id="rId5"/>
    <sheet name="Fin. High. by quarter (p8-9)" sheetId="167" r:id="rId6"/>
    <sheet name="Market envir. price (p8-9)" sheetId="168" r:id="rId7"/>
    <sheet name="Consol. stat. income (p10)" sheetId="169" r:id="rId8"/>
    <sheet name="Sales (p11)" sheetId="170" r:id="rId9"/>
    <sheet name="Deprec. depl. &amp; impairme. (p11)" sheetId="171" r:id="rId10"/>
    <sheet name="Equity in income (loss) (p11)" sheetId="172" r:id="rId11"/>
    <sheet name="Income taxes (p11)" sheetId="173" r:id="rId12"/>
    <sheet name="Adj. items op. income (p12)" sheetId="174" r:id="rId13"/>
    <sheet name="Adj. items net income (p13)" sheetId="175" r:id="rId14"/>
    <sheet name="Cons. balance sheet in (p14)" sheetId="176" r:id="rId15"/>
    <sheet name="Net tangible &amp; intangible (p15)" sheetId="177" r:id="rId16"/>
    <sheet name="Property, plant &amp; equip. (p15)" sheetId="178" r:id="rId17"/>
    <sheet name="Non-current assets (p15)" sheetId="179" r:id="rId18"/>
    <sheet name="Non-current debt (p16)" sheetId="180" r:id="rId19"/>
    <sheet name="Consolidated Equity (p17)" sheetId="181" r:id="rId20"/>
    <sheet name="Net-debt-to-equity ratio (p18)" sheetId="182" r:id="rId21"/>
    <sheet name="Capital replacement cost (p18)" sheetId="183" r:id="rId22"/>
    <sheet name="Capital employed (p18)" sheetId="184" r:id="rId23"/>
    <sheet name="ROACE by bs (p19)" sheetId="185" r:id="rId24"/>
    <sheet name="Conso stat. cash flows (p20)" sheetId="186" r:id="rId25"/>
    <sheet name="Cash flows from op. (p20) " sheetId="187" r:id="rId26"/>
    <sheet name="﻿Gross investments (p21)" sheetId="188" r:id="rId27"/>
    <sheet name="Organic investments by bs (p21)" sheetId="189" r:id="rId28"/>
    <sheet name="Divestments by bs (p21)" sheetId="190" r:id="rId29"/>
    <sheet name="Share information (p23)" sheetId="191" r:id="rId30"/>
    <sheet name="Payroll (p24)" sheetId="192" r:id="rId31"/>
    <sheet name="Number of employees (p24)" sheetId="193" r:id="rId32"/>
    <sheet name="Financial highlights (p27)" sheetId="194" r:id="rId33"/>
    <sheet name="Production (p27)" sheetId="198" r:id="rId34"/>
    <sheet name="Proved reserves (p27)" sheetId="199" r:id="rId35"/>
    <sheet name="Key op. ratios Group (p28)" sheetId="200" r:id="rId36"/>
    <sheet name="Key op. ratios subs. (p28)" sheetId="201" r:id="rId37"/>
    <sheet name="Comb. liquids gas prod. (p29" sheetId="202" r:id="rId38"/>
    <sheet name="Liquids prod. (p30)" sheetId="203" r:id="rId39"/>
    <sheet name="Gas prod. (p31)" sheetId="204" r:id="rId40"/>
    <sheet name="Changes oil bitum. gas (p32-36)" sheetId="205" r:id="rId41"/>
    <sheet name="Changes oil res. (p37-40)" sheetId="206" r:id="rId42"/>
    <sheet name="Changes bitum. res. (p41)" sheetId="207" r:id="rId43"/>
    <sheet name="Changes gas res. (p42-45)" sheetId="208" r:id="rId44"/>
    <sheet name="Results op. activities (p46-47)" sheetId="209" r:id="rId45"/>
    <sheet name="Cost incurred (p48)" sheetId="210" r:id="rId46"/>
    <sheet name="Capitalized cost (p49-50)" sheetId="211" r:id="rId47"/>
    <sheet name="Net cash flows (p51-52)" sheetId="212" r:id="rId48"/>
    <sheet name="Changes net cash flows (p53)" sheetId="213" r:id="rId49"/>
    <sheet name="Oil Gas Acreage (p54)" sheetId="214" r:id="rId50"/>
    <sheet name="Nb. prod. wells (p55)" sheetId="215" r:id="rId51"/>
    <sheet name="Nb.prod.dry.wells drilled (p56)" sheetId="216" r:id="rId52"/>
    <sheet name="Explo.Devpt.wells (p57)" sheetId="217" r:id="rId53"/>
    <sheet name="Interests pipelines (p58)" sheetId="218" r:id="rId54"/>
    <sheet name="﻿Financial highlights (p93)" sheetId="195" r:id="rId55"/>
    <sheet name="Power gen. facilities (p93)" sheetId="219" r:id="rId56"/>
    <sheet name="LNG sales (p94) " sheetId="220" r:id="rId57"/>
    <sheet name="Pipeline gas sales (p98)" sheetId="221" r:id="rId58"/>
    <sheet name="Financial highlights (p103)" sheetId="196" r:id="rId59"/>
    <sheet name="Operational highlights (p103)" sheetId="222" r:id="rId60"/>
    <sheet name="Refinery capacity (p107)" sheetId="223" r:id="rId61"/>
    <sheet name="Distillation capacity (p107)" sheetId="224" r:id="rId62"/>
    <sheet name="Refinery throughput (p108)" sheetId="225" r:id="rId63"/>
    <sheet name="Utiliz. rate feedstocks (p108)" sheetId="226" r:id="rId64"/>
    <sheet name="Utiliz. rate crude (p108)" sheetId="227" r:id="rId65"/>
    <sheet name="Production levels (p108)" sheetId="228" r:id="rId66"/>
    <sheet name="Main prod. capacities (p109)" sheetId="229" r:id="rId67"/>
    <sheet name="Sales by geo. area (p109)" sheetId="230" r:id="rId68"/>
    <sheet name="Sales by activity (p 110)" sheetId="231" r:id="rId69"/>
    <sheet name="Sales by geo. area (p110)" sheetId="232" r:id="rId70"/>
    <sheet name="Sales by activity (p110)" sheetId="233" r:id="rId71"/>
    <sheet name="﻿Financial highlights (p113)" sheetId="197" r:id="rId72"/>
    <sheet name="Operational highlights (p113)" sheetId="234" r:id="rId73"/>
    <sheet name="Petrol sales by area (p117)" sheetId="235" r:id="rId74"/>
    <sheet name="Petrol. sales by product (p117)" sheetId="236" r:id="rId75"/>
    <sheet name="Service-Stations (p118)" sheetId="237" r:id="rId76"/>
  </sheets>
  <definedNames>
    <definedName name="_xlnm.Print_Area" localSheetId="71">'﻿Financial highlights (p113)'!$A$1:$G$18</definedName>
    <definedName name="_xlnm.Print_Area" localSheetId="54">'﻿Financial highlights (p93)'!$A$1:$E$18</definedName>
    <definedName name="_xlnm.Print_Area" localSheetId="26">'﻿Gross investments (p21)'!$A$1:$G$20</definedName>
    <definedName name="_xlnm.Print_Area" localSheetId="13">'Adj. items net income (p13)'!$A$1:$H$44</definedName>
    <definedName name="_xlnm.Print_Area" localSheetId="12">'Adj. items op. income (p12)'!$A$1:$H$39</definedName>
    <definedName name="_xlnm.Print_Area" localSheetId="22">'Capital employed (p18)'!$A$1:$G$15</definedName>
    <definedName name="_xlnm.Print_Area" localSheetId="21">'Capital replacement cost (p18)'!$A$1:$G$12</definedName>
    <definedName name="_xlnm.Print_Area" localSheetId="46">'Capitalized cost (p49-50)'!$A$1:$I$58</definedName>
    <definedName name="_xlnm.Print_Area" localSheetId="25">'Cash flows from op. (p20) '!$A$1:$G$11</definedName>
    <definedName name="_xlnm.Print_Area" localSheetId="43">'Changes gas res. (p42-45)'!$A$2:$I$152</definedName>
    <definedName name="_xlnm.Print_Area" localSheetId="48">'Changes net cash flows (p53)'!$A$1:$J$32</definedName>
    <definedName name="_xlnm.Print_Area" localSheetId="37">'Comb. liquids gas prod. (p29'!$A$2:$I$53</definedName>
    <definedName name="_xlnm.Print_Area" localSheetId="14">'Cons. balance sheet in (p14)'!$A$1:$G$58</definedName>
    <definedName name="_xlnm.Print_Area" localSheetId="24">'Conso stat. cash flows (p20)'!$A$1:$G$44</definedName>
    <definedName name="_xlnm.Print_Area" localSheetId="7">'Consol. stat. income (p10)'!$A$2:$G$29</definedName>
    <definedName name="_xlnm.Print_Area" localSheetId="45">'Cost incurred (p48)'!$A$1:$J$59</definedName>
    <definedName name="_xlnm.Print_Area" localSheetId="9">'Deprec. depl. &amp; impairme. (p11)'!$A$2:$G$13</definedName>
    <definedName name="_xlnm.Print_Area" localSheetId="28">'Divestments by bs (p21)'!$A$1:$G$11</definedName>
    <definedName name="_xlnm.Print_Area" localSheetId="10">'Equity in income (loss) (p11)'!$A$1:$G$12</definedName>
    <definedName name="_xlnm.Print_Area" localSheetId="5">'Fin. High. by quarter (p8-9)'!$A$1:$S$16,'Fin. High. by quarter (p8-9)'!$A$17:$M$29</definedName>
    <definedName name="_xlnm.Print_Area" localSheetId="58">'Financial highlights (p103)'!$A$1:$G$19</definedName>
    <definedName name="_xlnm.Print_Area" localSheetId="32">'Financial highlights (p27)'!$A$1:$G$17</definedName>
    <definedName name="_xlnm.Print_Area" localSheetId="2">'Financial highlights (p7)'!$B$2:$G$41</definedName>
    <definedName name="_xlnm.Print_Area" localSheetId="39">'Gas prod. (p31)'!$A$1:$I$52</definedName>
    <definedName name="_xlnm.Print_Area" localSheetId="11">'Income taxes (p11)'!$A$1:$H$10</definedName>
    <definedName name="_xlnm.Print_Area" localSheetId="53">'Interests pipelines (p58)'!$A$1:$H$48</definedName>
    <definedName name="_xlnm.Print_Area" localSheetId="35">'Key op. ratios Group (p28)'!$A$2:$O$18</definedName>
    <definedName name="_xlnm.Print_Area" localSheetId="36">'Key op. ratios subs. (p28)'!$A$1:$O$17</definedName>
    <definedName name="_xlnm.Print_Area" localSheetId="38">'Liquids prod. (p30)'!$A$2:$I$53</definedName>
    <definedName name="_xlnm.Print_Area" localSheetId="56">'LNG sales (p94) '!$A$1:$H$20</definedName>
    <definedName name="_xlnm.Print_Area" localSheetId="66">'Main prod. capacities (p109)'!$A$1:$K$19</definedName>
    <definedName name="_xlnm.Print_Area" localSheetId="15">'Net tangible &amp; intangible (p15)'!$A$1:$G$22</definedName>
    <definedName name="_xlnm.Print_Area" localSheetId="20">'Net-debt-to-equity ratio (p18)'!$A$1:$G$8</definedName>
    <definedName name="_xlnm.Print_Area" localSheetId="17">'Non-current assets (p15)'!$A$1:$G$14</definedName>
    <definedName name="_xlnm.Print_Area" localSheetId="18">'Non-current debt (p16)'!$A$1:$L$42</definedName>
    <definedName name="_xlnm.Print_Area" localSheetId="31">'Number of employees (p24)'!$A$1:$G$32</definedName>
    <definedName name="_xlnm.Print_Area" localSheetId="49">'Oil Gas Acreage (p54)'!$A$1:$I$39</definedName>
    <definedName name="_xlnm.Print_Area" localSheetId="4">'Op. High. by quarter (p8-9)'!$A$1:$M$19</definedName>
    <definedName name="_xlnm.Print_Area" localSheetId="59">'Operational highlights (p103)'!$A$1:$H$10</definedName>
    <definedName name="_xlnm.Print_Area" localSheetId="27">'Organic investments by bs (p21)'!$A$1:$G$12</definedName>
    <definedName name="_xlnm.Print_Area" localSheetId="30">'Payroll (p24)'!$A$1:$G$8</definedName>
    <definedName name="_xlnm.Print_Area" localSheetId="57">'Pipeline gas sales (p98)'!$A$1:$I$29</definedName>
    <definedName name="_xlnm.Print_Area" localSheetId="33">'Production (p27)'!$A$2:$P$9</definedName>
    <definedName name="_xlnm.Print_Area" localSheetId="16">'Property, plant &amp; equip. (p15)'!$A$1:$G$19</definedName>
    <definedName name="_xlnm.Print_Area" localSheetId="34">'Proved reserves (p27)'!$A$1:$O$12</definedName>
    <definedName name="_xlnm.Print_Area" localSheetId="23">'ROACE by bs (p19)'!$A$1:$H$29</definedName>
    <definedName name="_xlnm.Print_Area" localSheetId="8">'Sales (p11)'!$A$2:$G$28</definedName>
    <definedName name="_xlnm.Print_Area" localSheetId="67">'Sales by geo. area (p109)'!$B$2:$J$11</definedName>
    <definedName name="_xlnm.Print_Area" localSheetId="0">Summary!$B$2:$C$98</definedName>
    <definedName name="_xlnm.Print_Area" localSheetId="63">'Utiliz. rate feedstocks (p108)'!$A$2:$K$15</definedName>
    <definedName name="_xlnm.Print_Titles" localSheetId="19">'Consolidated Equity (p17)'!$4:$5</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B2" i="236" l="1"/>
  <c r="B2" i="235"/>
  <c r="B2" i="234"/>
  <c r="C24" i="237"/>
  <c r="C31" i="237"/>
  <c r="C32" i="237"/>
  <c r="C15" i="228"/>
  <c r="C12" i="224"/>
  <c r="B2" i="223"/>
  <c r="C12" i="223"/>
  <c r="E12" i="223"/>
  <c r="F12" i="223"/>
  <c r="G12" i="223"/>
  <c r="H12" i="223"/>
  <c r="J12" i="223"/>
  <c r="K12" i="223"/>
  <c r="M12" i="223"/>
  <c r="C19" i="223"/>
  <c r="E19" i="223"/>
  <c r="F19" i="223"/>
  <c r="G19" i="223"/>
  <c r="H19" i="223"/>
  <c r="I19" i="223"/>
  <c r="J19" i="223"/>
  <c r="K19" i="223"/>
  <c r="M19" i="223"/>
  <c r="F23" i="223"/>
  <c r="G23" i="223"/>
  <c r="J23" i="223"/>
  <c r="K23" i="223"/>
  <c r="L23" i="223"/>
  <c r="L36" i="223" s="1"/>
  <c r="N23" i="223"/>
  <c r="C29" i="223"/>
  <c r="E29" i="223"/>
  <c r="F29" i="223"/>
  <c r="G29" i="223"/>
  <c r="H29" i="223"/>
  <c r="I29" i="223"/>
  <c r="J29" i="223"/>
  <c r="K29" i="223"/>
  <c r="C35" i="223"/>
  <c r="E35" i="223"/>
  <c r="F35" i="223"/>
  <c r="G35" i="223"/>
  <c r="G36" i="223" s="1"/>
  <c r="H35" i="223"/>
  <c r="I35" i="223"/>
  <c r="J35" i="223"/>
  <c r="K35" i="223"/>
  <c r="K36" i="223" s="1"/>
  <c r="N35" i="223"/>
  <c r="C36" i="223"/>
  <c r="E36" i="223"/>
  <c r="F36" i="223"/>
  <c r="H36" i="223"/>
  <c r="I36" i="223"/>
  <c r="J36" i="223"/>
  <c r="M36" i="223"/>
  <c r="N36" i="223"/>
  <c r="C12" i="220"/>
  <c r="C16" i="220"/>
  <c r="B2" i="218"/>
  <c r="B2" i="216"/>
  <c r="B2" i="215"/>
  <c r="B2" i="214"/>
  <c r="B2" i="213"/>
  <c r="B2" i="212"/>
  <c r="B2" i="211"/>
  <c r="B2" i="209"/>
  <c r="B2" i="208"/>
  <c r="B2" i="207"/>
  <c r="B2" i="206"/>
  <c r="B2" i="205"/>
  <c r="H5" i="204"/>
  <c r="H14" i="204"/>
  <c r="H19" i="204"/>
  <c r="H27" i="204"/>
  <c r="H35" i="204"/>
  <c r="H42" i="204"/>
  <c r="H43" i="204"/>
  <c r="B2" i="203"/>
  <c r="H5" i="203"/>
  <c r="H14" i="203"/>
  <c r="H19" i="203"/>
  <c r="H27" i="203"/>
  <c r="H36" i="203"/>
  <c r="H43" i="203"/>
  <c r="H44" i="203"/>
  <c r="H5" i="202"/>
  <c r="H14" i="202"/>
  <c r="H19" i="202"/>
  <c r="H43" i="202" s="1"/>
  <c r="H27" i="202"/>
  <c r="H36" i="202"/>
  <c r="H44" i="202"/>
  <c r="B2" i="201"/>
  <c r="B2" i="198"/>
  <c r="E7" i="197"/>
  <c r="E8" i="196"/>
  <c r="E7" i="195"/>
  <c r="E7" i="194"/>
  <c r="B2" i="193"/>
  <c r="B2" i="190"/>
  <c r="C9" i="189"/>
  <c r="D9" i="189"/>
  <c r="D18" i="188"/>
  <c r="B2" i="187"/>
  <c r="B2" i="186"/>
  <c r="B2" i="185"/>
  <c r="C22" i="185"/>
  <c r="D22" i="185"/>
  <c r="E22" i="185"/>
  <c r="C23" i="185"/>
  <c r="D23" i="185"/>
  <c r="E23" i="185"/>
  <c r="B2" i="184"/>
  <c r="C7" i="184"/>
  <c r="B2" i="183"/>
  <c r="B2" i="182"/>
  <c r="B2" i="181"/>
  <c r="C56" i="181"/>
  <c r="D56" i="181"/>
  <c r="E56" i="181"/>
  <c r="F56" i="181"/>
  <c r="G56" i="181"/>
  <c r="H56" i="181"/>
  <c r="I56" i="181"/>
  <c r="B2" i="180"/>
  <c r="B2" i="178"/>
  <c r="B2" i="177"/>
  <c r="C6" i="177"/>
  <c r="C9" i="177"/>
  <c r="C12" i="177"/>
  <c r="C15" i="177"/>
  <c r="C18" i="177"/>
  <c r="B2" i="176"/>
  <c r="B2" i="175"/>
  <c r="B2" i="174"/>
  <c r="B2" i="172"/>
  <c r="B2" i="171"/>
  <c r="B2" i="170"/>
  <c r="C11" i="170"/>
  <c r="C13" i="170"/>
  <c r="D13" i="170"/>
  <c r="E13" i="170"/>
  <c r="C14" i="170"/>
  <c r="D14" i="170"/>
  <c r="E14" i="170"/>
  <c r="C15" i="170"/>
  <c r="D15" i="170"/>
  <c r="E15" i="170"/>
  <c r="C16" i="170"/>
  <c r="D16" i="170"/>
  <c r="E16" i="170"/>
  <c r="C17" i="170"/>
  <c r="D17" i="170"/>
  <c r="E17" i="170"/>
  <c r="C19" i="170"/>
  <c r="B2" i="169"/>
  <c r="C27" i="169"/>
  <c r="C28" i="169"/>
  <c r="B2" i="168"/>
  <c r="C7" i="168"/>
  <c r="C8" i="168"/>
  <c r="C9" i="168"/>
  <c r="B2" i="167"/>
  <c r="C7" i="167"/>
  <c r="C8" i="167"/>
  <c r="C9" i="167"/>
  <c r="C10" i="167"/>
  <c r="G11" i="167"/>
  <c r="C12" i="167"/>
  <c r="B2" i="166"/>
  <c r="B2" i="165"/>
  <c r="E7" i="164"/>
  <c r="F7" i="164"/>
  <c r="G7" i="164"/>
</calcChain>
</file>

<file path=xl/sharedStrings.xml><?xml version="1.0" encoding="utf-8"?>
<sst xmlns="http://schemas.openxmlformats.org/spreadsheetml/2006/main" count="4848" uniqueCount="1096">
  <si>
    <t>Sales</t>
  </si>
  <si>
    <t>Net income (Group share)</t>
  </si>
  <si>
    <r>
      <t>Adjusted net income (Group share)</t>
    </r>
    <r>
      <rPr>
        <b/>
        <vertAlign val="superscript"/>
        <sz val="9"/>
        <rFont val="Arial"/>
        <family val="2"/>
      </rPr>
      <t>(1)</t>
    </r>
  </si>
  <si>
    <t>Cash flow from operating activities</t>
  </si>
  <si>
    <t>(in million dollars, except percent and per share amounts)</t>
  </si>
  <si>
    <t>Quarters</t>
  </si>
  <si>
    <t>Full Year</t>
  </si>
  <si>
    <r>
      <t>1</t>
    </r>
    <r>
      <rPr>
        <b/>
        <vertAlign val="superscript"/>
        <sz val="10"/>
        <color rgb="FF3876AF"/>
        <rFont val="Arial"/>
        <family val="2"/>
      </rPr>
      <t>st</t>
    </r>
  </si>
  <si>
    <r>
      <t>2</t>
    </r>
    <r>
      <rPr>
        <b/>
        <vertAlign val="superscript"/>
        <sz val="10"/>
        <color rgb="FF3876AF"/>
        <rFont val="Arial"/>
        <family val="2"/>
      </rPr>
      <t>nd</t>
    </r>
  </si>
  <si>
    <r>
      <t>3</t>
    </r>
    <r>
      <rPr>
        <b/>
        <vertAlign val="superscript"/>
        <sz val="10"/>
        <color rgb="FF3876AF"/>
        <rFont val="Arial"/>
        <family val="2"/>
      </rPr>
      <t>rd</t>
    </r>
  </si>
  <si>
    <r>
      <t>4</t>
    </r>
    <r>
      <rPr>
        <b/>
        <vertAlign val="superscript"/>
        <sz val="10"/>
        <color rgb="FF3876AF"/>
        <rFont val="Arial"/>
        <family val="2"/>
      </rPr>
      <t>th</t>
    </r>
  </si>
  <si>
    <t>Refining &amp; Chemicals</t>
  </si>
  <si>
    <t>Marketing &amp; Services</t>
  </si>
  <si>
    <t>(in million dollars)</t>
  </si>
  <si>
    <t>-</t>
  </si>
  <si>
    <t>Net-debt-to-equity ratio (as of end of period)</t>
  </si>
  <si>
    <t>Fully-diluted weighted-average number of shares</t>
  </si>
  <si>
    <t>Number of shares bought back during the period</t>
  </si>
  <si>
    <t>Share buybacks (B$)</t>
  </si>
  <si>
    <t xml:space="preserve"> </t>
  </si>
  <si>
    <t>For the year ended December 31,</t>
  </si>
  <si>
    <t>Excise taxes</t>
  </si>
  <si>
    <t>Purchases, net of inventory variation</t>
  </si>
  <si>
    <t>Other operating expenses</t>
  </si>
  <si>
    <t>Exploration costs</t>
  </si>
  <si>
    <t>Other income</t>
  </si>
  <si>
    <t>Other expense</t>
  </si>
  <si>
    <t>Financial interest on debt</t>
  </si>
  <si>
    <t>Other financial income</t>
  </si>
  <si>
    <t>Other financial expense</t>
  </si>
  <si>
    <t>Equity in income (loss) of affiliates</t>
  </si>
  <si>
    <t>Income taxes</t>
  </si>
  <si>
    <t>Consolidated net income</t>
  </si>
  <si>
    <t>Group share</t>
  </si>
  <si>
    <t>Minority interests</t>
  </si>
  <si>
    <t>Corporate</t>
  </si>
  <si>
    <t>Total</t>
  </si>
  <si>
    <t>By business segment including inter-segment sales</t>
  </si>
  <si>
    <t>Inter-segment sales</t>
  </si>
  <si>
    <t>By geographic area excluding inter-segment sales</t>
  </si>
  <si>
    <t>France</t>
  </si>
  <si>
    <t>Rest of Europe</t>
  </si>
  <si>
    <t>North America</t>
  </si>
  <si>
    <t>Africa</t>
  </si>
  <si>
    <t>Rest of world</t>
  </si>
  <si>
    <t>As of December 31,</t>
  </si>
  <si>
    <t>Deferred income taxes</t>
  </si>
  <si>
    <t>Year 2013</t>
  </si>
  <si>
    <t>Inventory valuation effect</t>
  </si>
  <si>
    <t>Effect of changes in fair value</t>
  </si>
  <si>
    <t>Restructuring charges</t>
  </si>
  <si>
    <t>Gains (losses) on asset sales</t>
  </si>
  <si>
    <t>ASSETS</t>
  </si>
  <si>
    <t>Property, plant and equipment, net</t>
  </si>
  <si>
    <t>Equity affiliates: investments and loans</t>
  </si>
  <si>
    <t>Other investments</t>
  </si>
  <si>
    <t>Other non-current assets</t>
  </si>
  <si>
    <t>Total non-current assets</t>
  </si>
  <si>
    <t>Current assets</t>
  </si>
  <si>
    <t>Accounts receivable, net</t>
  </si>
  <si>
    <t>Other current assets</t>
  </si>
  <si>
    <t>Current financial instruments</t>
  </si>
  <si>
    <t>Cash and cash equivalents</t>
  </si>
  <si>
    <t>Assets classified as held for sale</t>
  </si>
  <si>
    <t>Total current assets</t>
  </si>
  <si>
    <t>Paid-in surplus and retained earnings</t>
  </si>
  <si>
    <t>Currency translation adjustment</t>
  </si>
  <si>
    <t>Treasury shares</t>
  </si>
  <si>
    <t>Non-current liabilities</t>
  </si>
  <si>
    <t>Employee benefits</t>
  </si>
  <si>
    <t>Provisions and other non-current liabilities</t>
  </si>
  <si>
    <t>Non-current financial debt</t>
  </si>
  <si>
    <t>Total non-current liabilities</t>
  </si>
  <si>
    <t>Current liabilities</t>
  </si>
  <si>
    <t>Accounts payable</t>
  </si>
  <si>
    <t>Other creditors and accrued liabilities</t>
  </si>
  <si>
    <t>Current borrowings</t>
  </si>
  <si>
    <t>Other current financial liabilities</t>
  </si>
  <si>
    <t>Total current liabilities</t>
  </si>
  <si>
    <t>Non-controlling interests</t>
  </si>
  <si>
    <t>Tangibles</t>
  </si>
  <si>
    <t>Intangibles</t>
  </si>
  <si>
    <t>Unproved properties</t>
  </si>
  <si>
    <t>Work in progress</t>
  </si>
  <si>
    <t>Land</t>
  </si>
  <si>
    <t>Buildings</t>
  </si>
  <si>
    <t>Construction in progress</t>
  </si>
  <si>
    <t>Other</t>
  </si>
  <si>
    <r>
      <t>NON-CURRENT ASSETS BY BUSINESS SEGMENT</t>
    </r>
    <r>
      <rPr>
        <b/>
        <vertAlign val="superscript"/>
        <sz val="12"/>
        <color rgb="FFFF6E23"/>
        <rFont val="Arial"/>
        <family val="2"/>
      </rPr>
      <t>(1)</t>
    </r>
  </si>
  <si>
    <t>%</t>
  </si>
  <si>
    <t>Euro</t>
  </si>
  <si>
    <t>Other currencies</t>
  </si>
  <si>
    <t>Floating rates</t>
  </si>
  <si>
    <t>Common shares issued</t>
  </si>
  <si>
    <t>Paid-in 
surplus and 
retained earnings</t>
  </si>
  <si>
    <t>Cumulative
translation adjustments</t>
  </si>
  <si>
    <t>Shareholders’
equity</t>
  </si>
  <si>
    <t>Number</t>
  </si>
  <si>
    <t>Amount</t>
  </si>
  <si>
    <t>Dividend</t>
  </si>
  <si>
    <t>Issuance of common shares</t>
  </si>
  <si>
    <t>Purchase of treasury shares</t>
  </si>
  <si>
    <t>Share cancellation</t>
  </si>
  <si>
    <t>Translation adjustments</t>
  </si>
  <si>
    <t>Other operations with minority interests</t>
  </si>
  <si>
    <t>Other comprehensive income</t>
  </si>
  <si>
    <t>Share-based payments</t>
  </si>
  <si>
    <t>Other items</t>
  </si>
  <si>
    <t>Shareholder’s equity</t>
  </si>
  <si>
    <t>Net-debt-to-equity ratio</t>
  </si>
  <si>
    <t>Assets and liabilities classified as held for sale</t>
  </si>
  <si>
    <t>Working capital</t>
  </si>
  <si>
    <t>Capital employed</t>
  </si>
  <si>
    <t>Adjusted net operating income</t>
  </si>
  <si>
    <t>ROACE</t>
  </si>
  <si>
    <t>Group</t>
  </si>
  <si>
    <t>Non-current liabilities, valuation allowances, and deferred taxes</t>
  </si>
  <si>
    <t>(Gains) losses on sales of assets</t>
  </si>
  <si>
    <t>(Increase) decrease in working capital</t>
  </si>
  <si>
    <t>Other changes, net</t>
  </si>
  <si>
    <t>Intangible assets and property, plant, and equipment additions</t>
  </si>
  <si>
    <t>Acquisition of subsidiaries, net of cash acquired</t>
  </si>
  <si>
    <t>Investments in equity affiliates and other securities</t>
  </si>
  <si>
    <t>Increase in non-current loans</t>
  </si>
  <si>
    <t>Total expenditures</t>
  </si>
  <si>
    <t>Proceeds from disposal of intangible assets, and property, plant and equipment</t>
  </si>
  <si>
    <t>Proceeds from disposal of subsidiaries, net of cash sold</t>
  </si>
  <si>
    <t>Proceeds from disposal of non-current investments</t>
  </si>
  <si>
    <t>Repayment of non-current loans</t>
  </si>
  <si>
    <t>Total divestments</t>
  </si>
  <si>
    <t>Cash flow used in investing activities</t>
  </si>
  <si>
    <t>Net issuance (repayment) of non-current debt</t>
  </si>
  <si>
    <t>Net increase (decrease) in cash and cash equivalents</t>
  </si>
  <si>
    <t>Effect of exchange rates</t>
  </si>
  <si>
    <t>Cash and cash equivalents at the beginning of the period</t>
  </si>
  <si>
    <t>Cash and cash equivalents at the end of the period</t>
  </si>
  <si>
    <t>By business segment</t>
  </si>
  <si>
    <t>By geographic area</t>
  </si>
  <si>
    <t>Market environment</t>
  </si>
  <si>
    <t>Average euro-dollar ($/€)</t>
  </si>
  <si>
    <t>Brent price ($/b)</t>
  </si>
  <si>
    <t>TOTAL average gas price ($/MBtu)</t>
  </si>
  <si>
    <r>
      <t>PAYROLL</t>
    </r>
    <r>
      <rPr>
        <b/>
        <vertAlign val="superscript"/>
        <sz val="12"/>
        <color rgb="FFFF6E23"/>
        <rFont val="Arial"/>
        <family val="2"/>
      </rPr>
      <t>(1)</t>
    </r>
  </si>
  <si>
    <r>
      <t>Number of employees by region</t>
    </r>
    <r>
      <rPr>
        <b/>
        <vertAlign val="superscript"/>
        <sz val="9"/>
        <rFont val="Arial"/>
        <family val="2"/>
      </rPr>
      <t>(1)</t>
    </r>
  </si>
  <si>
    <r>
      <t>Number of employees by business segment</t>
    </r>
    <r>
      <rPr>
        <b/>
        <vertAlign val="superscript"/>
        <sz val="9"/>
        <rFont val="Arial"/>
        <family val="2"/>
      </rPr>
      <t>(1)</t>
    </r>
  </si>
  <si>
    <t>Net income 2013</t>
  </si>
  <si>
    <t>Refining &amp; Chemicals</t>
  </si>
  <si>
    <t>Marketing &amp; Services</t>
  </si>
  <si>
    <t>Shares outstanding (as of end of period)</t>
  </si>
  <si>
    <t>Earnings per share ($)</t>
  </si>
  <si>
    <t>Fully-diluted earnings per share ($)</t>
  </si>
  <si>
    <t>Adjusted fully-diluted earnings per share ($)</t>
  </si>
  <si>
    <t>Total assets</t>
  </si>
  <si>
    <t>Total shareholders’ equity – Group share</t>
  </si>
  <si>
    <t>Total shareholders’ equity</t>
  </si>
  <si>
    <t>Undistributed affiliates’ equity earnings</t>
  </si>
  <si>
    <t>Cash dividend paid:</t>
  </si>
  <si>
    <t>(Increase) decrease in current borrowings</t>
  </si>
  <si>
    <t>(Increase) decrease in current financial assets and liabilities</t>
  </si>
  <si>
    <t>(in million dollars, except percent, per share amounts and share buybacks)</t>
  </si>
  <si>
    <t>(in million dollars, except per share amounts)</t>
  </si>
  <si>
    <t>FINANCIAL HIGHLIGHTS</t>
  </si>
  <si>
    <t>Year 2014</t>
  </si>
  <si>
    <t>Net income 2014</t>
  </si>
  <si>
    <r>
      <t>Price realizations</t>
    </r>
    <r>
      <rPr>
        <b/>
        <vertAlign val="superscript"/>
        <sz val="9"/>
        <rFont val="Arial"/>
        <family val="2"/>
      </rPr>
      <t>(2)</t>
    </r>
  </si>
  <si>
    <r>
      <t>TOTAL average liquids price ($/b)</t>
    </r>
    <r>
      <rPr>
        <vertAlign val="superscript"/>
        <sz val="9"/>
        <rFont val="Arial"/>
        <family val="2"/>
      </rPr>
      <t>(3)</t>
    </r>
  </si>
  <si>
    <t>As of December 31, 2013</t>
  </si>
  <si>
    <t>As of December 31, 2014</t>
  </si>
  <si>
    <t>Long-term liabilities</t>
  </si>
  <si>
    <r>
      <t>Cash flow (from)</t>
    </r>
    <r>
      <rPr>
        <b/>
        <sz val="9"/>
        <rFont val="Arial"/>
        <family val="2"/>
      </rPr>
      <t>/</t>
    </r>
    <r>
      <rPr>
        <b/>
        <sz val="9"/>
        <rFont val="Arial"/>
        <family val="2"/>
      </rPr>
      <t>used financing activities</t>
    </r>
  </si>
  <si>
    <t>Cash flow used in financing activities</t>
  </si>
  <si>
    <r>
      <t>Average refining margins ($/t) - ERMI</t>
    </r>
    <r>
      <rPr>
        <vertAlign val="superscript"/>
        <sz val="9"/>
        <rFont val="Arial"/>
        <family val="2"/>
      </rPr>
      <t>(1)</t>
    </r>
  </si>
  <si>
    <t>INCOME TAXES</t>
  </si>
  <si>
    <r>
      <t>Sales of treasury shares</t>
    </r>
    <r>
      <rPr>
        <vertAlign val="superscript"/>
        <sz val="9"/>
        <rFont val="Arial"/>
        <family val="2"/>
      </rPr>
      <t>(1)</t>
    </r>
  </si>
  <si>
    <r>
      <t xml:space="preserve">(in million </t>
    </r>
    <r>
      <rPr>
        <sz val="10"/>
        <color rgb="FF3876AF"/>
        <rFont val="Arial Italic"/>
      </rPr>
      <t>dollars</t>
    </r>
    <r>
      <rPr>
        <i/>
        <sz val="10"/>
        <color rgb="FF3876AF"/>
        <rFont val="Arial"/>
        <family val="2"/>
      </rPr>
      <t xml:space="preserve"> except percent)</t>
    </r>
  </si>
  <si>
    <t>Machinery plant and equipment (including transportation equipment)</t>
  </si>
  <si>
    <r>
      <t>(in million</t>
    </r>
    <r>
      <rPr>
        <sz val="10"/>
        <color rgb="FF3876AF"/>
        <rFont val="Arial"/>
        <family val="2"/>
      </rPr>
      <t xml:space="preserve"> </t>
    </r>
    <r>
      <rPr>
        <sz val="10"/>
        <color rgb="FF3876AF"/>
        <rFont val="Arial Italic"/>
      </rPr>
      <t>dollars</t>
    </r>
    <r>
      <rPr>
        <i/>
        <sz val="10"/>
        <color rgb="FF3876AF"/>
        <rFont val="Arial Italic"/>
        <family val="2"/>
      </rPr>
      <t xml:space="preserve">, </t>
    </r>
    <r>
      <rPr>
        <i/>
        <sz val="10"/>
        <color rgb="FF3876AF"/>
        <rFont val="Arial"/>
        <family val="2"/>
      </rPr>
      <t>except percent)</t>
    </r>
  </si>
  <si>
    <r>
      <t xml:space="preserve">(in million </t>
    </r>
    <r>
      <rPr>
        <sz val="10"/>
        <color rgb="FF3876AF"/>
        <rFont val="Arial Italic"/>
      </rPr>
      <t>dollars</t>
    </r>
    <r>
      <rPr>
        <i/>
        <sz val="10"/>
        <color rgb="FF3876AF"/>
        <rFont val="Arial Italic"/>
        <family val="2"/>
      </rPr>
      <t>,</t>
    </r>
    <r>
      <rPr>
        <i/>
        <sz val="10"/>
        <color rgb="FF3876AF"/>
        <rFont val="Arial"/>
        <family val="2"/>
      </rPr>
      <t xml:space="preserve"> except percent)</t>
    </r>
  </si>
  <si>
    <t>Intangible assets, net</t>
  </si>
  <si>
    <t>Inventories, net</t>
  </si>
  <si>
    <t>Common shares</t>
  </si>
  <si>
    <t>Proved properties</t>
  </si>
  <si>
    <t>(1) These analyses are presented after the impact of interest rate and currency swaps.</t>
  </si>
  <si>
    <t>(in millions of dollars, except percent)</t>
  </si>
  <si>
    <t>Cash flow from operations</t>
  </si>
  <si>
    <t>Divestments</t>
  </si>
  <si>
    <t>Contribution of Specialty Chemicals</t>
  </si>
  <si>
    <r>
      <t>Adjusted fully diluted earnings per share ($)</t>
    </r>
    <r>
      <rPr>
        <vertAlign val="superscript"/>
        <sz val="9"/>
        <rFont val="Arial"/>
        <family val="2"/>
      </rPr>
      <t>(1)</t>
    </r>
  </si>
  <si>
    <r>
      <t>Analysis by currency</t>
    </r>
    <r>
      <rPr>
        <b/>
        <vertAlign val="superscript"/>
        <sz val="9"/>
        <rFont val="Arial"/>
        <family val="2"/>
      </rPr>
      <t>(1)</t>
    </r>
  </si>
  <si>
    <r>
      <t>Analysis by interest rate</t>
    </r>
    <r>
      <rPr>
        <b/>
        <vertAlign val="superscript"/>
        <sz val="9"/>
        <rFont val="Arial"/>
        <family val="2"/>
      </rPr>
      <t>(1)</t>
    </r>
  </si>
  <si>
    <t>As of December 31, 2015</t>
  </si>
  <si>
    <t>Net income 2015</t>
  </si>
  <si>
    <t>Return on Equity (ROE)</t>
  </si>
  <si>
    <r>
      <rPr>
        <sz val="8"/>
        <color theme="1"/>
        <rFont val="Krungthep"/>
        <family val="2"/>
      </rPr>
      <t>﻿</t>
    </r>
    <r>
      <rPr>
        <sz val="8"/>
        <color theme="1"/>
        <rFont val="Arial"/>
        <family val="2"/>
      </rPr>
      <t>(1) Total’s European Refining Margin Indicator (ERMI); published quarterly by the Group.</t>
    </r>
  </si>
  <si>
    <r>
      <t>Price realizations</t>
    </r>
    <r>
      <rPr>
        <b/>
        <vertAlign val="superscript"/>
        <sz val="9"/>
        <rFont val="Arial"/>
        <family val="2"/>
      </rPr>
      <t> (2)</t>
    </r>
  </si>
  <si>
    <r>
      <t>Average refining margins ($</t>
    </r>
    <r>
      <rPr>
        <sz val="9"/>
        <rFont val="Monaco"/>
        <family val="2"/>
      </rPr>
      <t>⁠</t>
    </r>
    <r>
      <rPr>
        <sz val="9"/>
        <rFont val="Arial"/>
        <family val="2"/>
      </rPr>
      <t>/</t>
    </r>
    <r>
      <rPr>
        <sz val="9"/>
        <rFont val="Monaco"/>
        <family val="2"/>
      </rPr>
      <t>⁠</t>
    </r>
    <r>
      <rPr>
        <sz val="9"/>
        <rFont val="Arial"/>
        <family val="2"/>
      </rPr>
      <t>t) – ERMI </t>
    </r>
    <r>
      <rPr>
        <vertAlign val="superscript"/>
        <sz val="9"/>
        <rFont val="Arial"/>
        <family val="2"/>
      </rPr>
      <t>(1)</t>
    </r>
  </si>
  <si>
    <r>
      <t>TOTAL average liquids price ($</t>
    </r>
    <r>
      <rPr>
        <sz val="9"/>
        <rFont val="Monaco"/>
        <family val="2"/>
      </rPr>
      <t>⁠</t>
    </r>
    <r>
      <rPr>
        <sz val="9"/>
        <rFont val="Arial"/>
        <family val="2"/>
      </rPr>
      <t>/</t>
    </r>
    <r>
      <rPr>
        <sz val="9"/>
        <rFont val="Monaco"/>
        <family val="2"/>
      </rPr>
      <t>⁠</t>
    </r>
    <r>
      <rPr>
        <sz val="9"/>
        <rFont val="Arial"/>
        <family val="2"/>
      </rPr>
      <t>b)</t>
    </r>
    <r>
      <rPr>
        <vertAlign val="superscript"/>
        <sz val="9"/>
        <rFont val="Arial"/>
        <family val="2"/>
      </rPr>
      <t> (3)</t>
    </r>
  </si>
  <si>
    <r>
      <rPr>
        <sz val="8"/>
        <color theme="1"/>
        <rFont val="Krungthep"/>
        <family val="2"/>
      </rPr>
      <t>﻿</t>
    </r>
    <r>
      <rPr>
        <sz val="8"/>
        <color theme="1"/>
        <rFont val="Arial"/>
        <family val="2"/>
      </rPr>
      <t>(3) Crude oil and natural gas liquids.</t>
    </r>
  </si>
  <si>
    <t xml:space="preserve">     Revenues from sales</t>
  </si>
  <si>
    <t xml:space="preserve">     Cost of net debt</t>
  </si>
  <si>
    <t>LIABILITIES AND SHAREHOLDERS’ EQUITY</t>
  </si>
  <si>
    <t>Shareholders’ equity</t>
  </si>
  <si>
    <r>
      <t>Total</t>
    </r>
    <r>
      <rPr>
        <b/>
        <vertAlign val="superscript"/>
        <sz val="9"/>
        <color rgb="FF3876AF"/>
        <rFont val="Arial"/>
        <family val="2"/>
      </rPr>
      <t> (1)</t>
    </r>
  </si>
  <si>
    <t>Norwegian Krones</t>
  </si>
  <si>
    <t>Issuance of perpetual subordinated notes</t>
  </si>
  <si>
    <t>Payments on perpetual subordinated notes</t>
  </si>
  <si>
    <r>
      <t>Sales of treasury shares</t>
    </r>
    <r>
      <rPr>
        <vertAlign val="superscript"/>
        <sz val="9"/>
        <rFont val="Arial"/>
        <family val="2"/>
      </rPr>
      <t> (1)</t>
    </r>
  </si>
  <si>
    <r>
      <rPr>
        <sz val="8"/>
        <color theme="1"/>
        <rFont val="Krungthep"/>
        <family val="2"/>
      </rPr>
      <t>﻿</t>
    </r>
    <r>
      <rPr>
        <sz val="8"/>
        <color theme="1"/>
        <rFont val="Arial"/>
        <family val="2"/>
      </rPr>
      <t>(1) Treasury shares related to the restricted stock grants.</t>
    </r>
  </si>
  <si>
    <r>
      <t>Average capital employed</t>
    </r>
    <r>
      <rPr>
        <vertAlign val="superscript"/>
        <sz val="9"/>
        <rFont val="Arial"/>
        <family val="2"/>
      </rPr>
      <t> (1)</t>
    </r>
  </si>
  <si>
    <r>
      <t>Average capital employed </t>
    </r>
    <r>
      <rPr>
        <vertAlign val="superscript"/>
        <sz val="9"/>
        <rFont val="Arial"/>
        <family val="2"/>
      </rPr>
      <t>(1)</t>
    </r>
  </si>
  <si>
    <t>– Parent company shareholders</t>
  </si>
  <si>
    <t>– Treasury shares</t>
  </si>
  <si>
    <t>– Parent company’s shareholders</t>
  </si>
  <si>
    <t>– Minority shareholders</t>
  </si>
  <si>
    <r>
      <rPr>
        <b/>
        <sz val="12"/>
        <color rgb="FFFF6E23"/>
        <rFont val="Krungthep"/>
        <family val="2"/>
      </rPr>
      <t>﻿</t>
    </r>
    <r>
      <rPr>
        <b/>
        <sz val="12"/>
        <color rgb="FFFF6E23"/>
        <rFont val="Arial"/>
        <family val="2"/>
      </rPr>
      <t>GROSS INVESTMENTS </t>
    </r>
    <r>
      <rPr>
        <b/>
        <vertAlign val="superscript"/>
        <sz val="12"/>
        <color rgb="FFFF6E23"/>
        <rFont val="Arial"/>
        <family val="2"/>
      </rPr>
      <t>(1)</t>
    </r>
  </si>
  <si>
    <r>
      <rPr>
        <b/>
        <sz val="12"/>
        <color rgb="FFFF6E23"/>
        <rFont val="Krungthep"/>
        <family val="2"/>
      </rPr>
      <t>﻿</t>
    </r>
    <r>
      <rPr>
        <b/>
        <sz val="12"/>
        <color rgb="FFFF6E23"/>
        <rFont val="Arial"/>
        <family val="2"/>
      </rPr>
      <t>ORGANIC INVESTMENTS</t>
    </r>
    <r>
      <rPr>
        <b/>
        <vertAlign val="superscript"/>
        <sz val="12"/>
        <color rgb="FFFF6E23"/>
        <rFont val="Arial"/>
        <family val="2"/>
      </rPr>
      <t> (2)</t>
    </r>
    <r>
      <rPr>
        <b/>
        <sz val="12"/>
        <color rgb="FFFF6E23"/>
        <rFont val="Arial"/>
        <family val="2"/>
      </rPr>
      <t xml:space="preserve"> BY BUSINESS SEGMENT</t>
    </r>
  </si>
  <si>
    <r>
      <rPr>
        <sz val="8"/>
        <color theme="1"/>
        <rFont val="Krungthep"/>
        <family val="2"/>
      </rPr>
      <t>﻿</t>
    </r>
    <r>
      <rPr>
        <sz val="8"/>
        <color theme="1"/>
        <rFont val="Arial"/>
        <family val="2"/>
      </rPr>
      <t>(1) Personnel expenses and number of employees of fully-consolidated subsidiaries.</t>
    </r>
  </si>
  <si>
    <t>Exploration &amp; Production</t>
  </si>
  <si>
    <t>Trading &amp; Shipping</t>
  </si>
  <si>
    <r>
      <t>Adjusted net operating income </t>
    </r>
    <r>
      <rPr>
        <vertAlign val="superscript"/>
        <sz val="9"/>
        <rFont val="Arial"/>
        <family val="2"/>
      </rPr>
      <t>(1)</t>
    </r>
  </si>
  <si>
    <r>
      <t>Gross investments </t>
    </r>
    <r>
      <rPr>
        <vertAlign val="superscript"/>
        <sz val="9"/>
        <rFont val="Arial"/>
        <family val="2"/>
      </rPr>
      <t>(2)</t>
    </r>
  </si>
  <si>
    <r>
      <t>Organic investments </t>
    </r>
    <r>
      <rPr>
        <vertAlign val="superscript"/>
        <sz val="9"/>
        <rFont val="Arial"/>
        <family val="2"/>
      </rPr>
      <t>(3)</t>
    </r>
  </si>
  <si>
    <t>By business segment excluding inter-segment sales</t>
  </si>
  <si>
    <t>Current income taxes</t>
  </si>
  <si>
    <t>Year 2015</t>
  </si>
  <si>
    <t>Non-current assets</t>
  </si>
  <si>
    <r>
      <rPr>
        <b/>
        <sz val="9"/>
        <rFont val="Arial"/>
        <family val="2"/>
      </rPr>
      <t>Loan repayment schedule </t>
    </r>
    <r>
      <rPr>
        <b/>
        <vertAlign val="superscript"/>
        <sz val="9"/>
        <rFont val="Arial"/>
        <family val="2"/>
      </rPr>
      <t>(1)</t>
    </r>
  </si>
  <si>
    <t>U.S. dollar</t>
  </si>
  <si>
    <t>Fixed rate</t>
  </si>
  <si>
    <t>Net financial debt</t>
  </si>
  <si>
    <r>
      <rPr>
        <sz val="8"/>
        <color theme="1"/>
        <rFont val="Arial"/>
        <family val="2"/>
      </rPr>
      <t>(1) At replacement cost (excluding after-tax inventory effect). Average Capital Employed = (Capital Employed beginning of the year + Capital Employed end of the year)</t>
    </r>
    <r>
      <rPr>
        <sz val="8"/>
        <color theme="1"/>
        <rFont val="Monaco"/>
        <family val="2"/>
      </rPr>
      <t>⁠</t>
    </r>
    <r>
      <rPr>
        <sz val="8"/>
        <color theme="1"/>
        <rFont val="Arial"/>
        <family val="2"/>
      </rPr>
      <t>/</t>
    </r>
    <r>
      <rPr>
        <sz val="8"/>
        <color theme="1"/>
        <rFont val="Monaco"/>
        <family val="2"/>
      </rPr>
      <t>⁠</t>
    </r>
    <r>
      <rPr>
        <sz val="8"/>
        <color theme="1"/>
        <rFont val="Arial"/>
        <family val="2"/>
      </rPr>
      <t xml:space="preserve">2.
</t>
    </r>
  </si>
  <si>
    <t>Issuance (repayment) of shares:</t>
  </si>
  <si>
    <r>
      <rPr>
        <sz val="8"/>
        <color theme="1"/>
        <rFont val="Arial"/>
        <family val="2"/>
      </rPr>
      <t>(1) Including acquisitions and increases in non-current loans.</t>
    </r>
  </si>
  <si>
    <t>(2) Organic investments = net investments, excluding acquisitions, divestments and other operations with non-controlling interests.</t>
  </si>
  <si>
    <r>
      <rPr>
        <sz val="9"/>
        <rFont val="Arial"/>
        <family val="2"/>
      </rPr>
      <t>Wages and salaries (including social charges)</t>
    </r>
  </si>
  <si>
    <r>
      <rPr>
        <sz val="8"/>
        <color theme="1"/>
        <rFont val="Arial"/>
        <family val="2"/>
      </rPr>
      <t>(1) Personnel expenses and number of employees of fully-consolidated subsidiaries.</t>
    </r>
  </si>
  <si>
    <r>
      <rPr>
        <sz val="8"/>
        <color theme="1"/>
        <rFont val="Arial"/>
        <family val="2"/>
      </rPr>
      <t>(2) Employees present: employees present are employees on the payroll of the consolidated scope, less employees who are not present, i.e., persons who are under suspended contract (sabbatical, business development leave, etc.), absent on long-term sick leave (more than six months), assigned to a company outside the Group, etc.</t>
    </r>
  </si>
  <si>
    <t>Year-end Brent price ($/b)</t>
  </si>
  <si>
    <t>Average Brent price ($/b)</t>
  </si>
  <si>
    <t>Year 2016</t>
  </si>
  <si>
    <t>Liabilities directly associated with the assets classified as held for sale</t>
  </si>
  <si>
    <t>Total liabilities</t>
  </si>
  <si>
    <t>Net income 2016</t>
  </si>
  <si>
    <t>As of December 31, 2016</t>
  </si>
  <si>
    <t>Asset impairment of charges</t>
  </si>
  <si>
    <t>Non-current financial assets</t>
  </si>
  <si>
    <r>
      <rPr>
        <sz val="8"/>
        <color theme="1"/>
        <rFont val="Krungthep"/>
        <family val="2"/>
      </rPr>
      <t>﻿</t>
    </r>
    <r>
      <rPr>
        <sz val="8"/>
        <color theme="1"/>
        <rFont val="Arial"/>
        <family val="2"/>
      </rPr>
      <t>(2) Consolidated subsidiaries excluding fixed margin and buy-back contracts and including hydrocarbon production overlifting</t>
    </r>
    <r>
      <rPr>
        <sz val="8"/>
        <color theme="1"/>
        <rFont val="Monaco"/>
        <family val="2"/>
      </rPr>
      <t>⁠</t>
    </r>
    <r>
      <rPr>
        <sz val="8"/>
        <color theme="1"/>
        <rFont val="Arial"/>
        <family val="2"/>
      </rPr>
      <t>/</t>
    </r>
    <r>
      <rPr>
        <sz val="8"/>
        <color theme="1"/>
        <rFont val="Monaco"/>
        <family val="2"/>
      </rPr>
      <t>⁠</t>
    </r>
    <r>
      <rPr>
        <sz val="8"/>
        <color theme="1"/>
        <rFont val="Arial"/>
        <family val="2"/>
      </rPr>
      <t>underlifting position valued at market price.</t>
    </r>
  </si>
  <si>
    <t>(1) Non-current financial assets are not included here.</t>
  </si>
  <si>
    <t>Depreciation, depletion, amortization and impairment</t>
  </si>
  <si>
    <r>
      <t>Number of employees by business segment</t>
    </r>
    <r>
      <rPr>
        <b/>
        <vertAlign val="superscript"/>
        <sz val="9"/>
        <rFont val="Arial"/>
        <family val="2"/>
      </rPr>
      <t>(2)</t>
    </r>
  </si>
  <si>
    <t>Depreciation, depletion and impairment of tangible assets and mineral interests</t>
  </si>
  <si>
    <t>Financial income and expense from cash and cash equivalents</t>
  </si>
  <si>
    <r>
      <t>Dividend per ADR ($)</t>
    </r>
    <r>
      <rPr>
        <b/>
        <vertAlign val="superscript"/>
        <sz val="9"/>
        <rFont val="Arial"/>
        <family val="2"/>
      </rPr>
      <t>(2)</t>
    </r>
  </si>
  <si>
    <r>
      <t>Dividend per share (€)</t>
    </r>
    <r>
      <rPr>
        <b/>
        <vertAlign val="superscript"/>
        <sz val="9"/>
        <rFont val="Arial"/>
        <family val="2"/>
      </rPr>
      <t>(2)</t>
    </r>
  </si>
  <si>
    <r>
      <t>Adjusted fully-diluted earnings per share ($)</t>
    </r>
    <r>
      <rPr>
        <b/>
        <vertAlign val="superscript"/>
        <sz val="9"/>
        <rFont val="Arial"/>
        <family val="2"/>
      </rPr>
      <t>(1)(2)</t>
    </r>
  </si>
  <si>
    <r>
      <t>Adjusted net operating income from business segments</t>
    </r>
    <r>
      <rPr>
        <b/>
        <vertAlign val="superscript"/>
        <sz val="9"/>
        <rFont val="Arial"/>
        <family val="2"/>
      </rPr>
      <t>(1)</t>
    </r>
  </si>
  <si>
    <r>
      <rPr>
        <sz val="8"/>
        <color theme="1"/>
        <rFont val="Noteworthy Bold"/>
        <family val="2"/>
      </rPr>
      <t>﻿</t>
    </r>
    <r>
      <rPr>
        <sz val="8"/>
        <color theme="1"/>
        <rFont val="Arial"/>
        <family val="2"/>
      </rPr>
      <t>(1) Adjusted results are defined as income at replacement cost, excluding non-recurring items, and excluding the impact of fair value changes.</t>
    </r>
  </si>
  <si>
    <t>(5) Based on adjusted net operating income and average capital employed using replacement cost.</t>
  </si>
  <si>
    <t>Net-debt-to-equity ratio (as of December 31)</t>
  </si>
  <si>
    <r>
      <t>Return on Average Capital Employed (ROACE)</t>
    </r>
    <r>
      <rPr>
        <vertAlign val="superscript"/>
        <sz val="9"/>
        <rFont val="Arial"/>
        <family val="2"/>
      </rPr>
      <t>(5)</t>
    </r>
  </si>
  <si>
    <t>Year-end euro/dollar (Û/$)</t>
  </si>
  <si>
    <t>Average euro/dollar (Û/$)</t>
  </si>
  <si>
    <r>
      <t>Average refining margins ($/t) – ERMI</t>
    </r>
    <r>
      <rPr>
        <vertAlign val="superscript"/>
        <sz val="9"/>
        <rFont val="Arial"/>
        <family val="2"/>
      </rPr>
      <t>(1)</t>
    </r>
  </si>
  <si>
    <r>
      <t xml:space="preserve">(1) </t>
    </r>
    <r>
      <rPr>
        <sz val="8"/>
        <color theme="1"/>
        <rFont val="Noteworthy Bold"/>
        <family val="2"/>
      </rPr>
      <t>﻿</t>
    </r>
    <r>
      <rPr>
        <sz val="8"/>
        <color theme="1"/>
        <rFont val="Arial"/>
        <family val="2"/>
      </rPr>
      <t xml:space="preserve">Total’s European Refining Margin Indicator (ERMI); published quarterly by the Group.
</t>
    </r>
  </si>
  <si>
    <r>
      <t>Adjusted operating income from business segments</t>
    </r>
    <r>
      <rPr>
        <b/>
        <vertAlign val="superscript"/>
        <sz val="9"/>
        <rFont val="Arial"/>
        <family val="2"/>
      </rPr>
      <t>(1)</t>
    </r>
  </si>
  <si>
    <r>
      <rPr>
        <sz val="8"/>
        <color rgb="FF000000"/>
        <rFont val="Krungthep"/>
        <family val="2"/>
      </rPr>
      <t>﻿</t>
    </r>
    <r>
      <rPr>
        <sz val="8"/>
        <color rgb="FF000000"/>
        <rFont val="Arial"/>
        <family val="2"/>
      </rPr>
      <t xml:space="preserve">(1) </t>
    </r>
    <r>
      <rPr>
        <sz val="8"/>
        <color rgb="FF000000"/>
        <rFont val="Noteworthy Bold"/>
        <family val="2"/>
      </rPr>
      <t>﻿</t>
    </r>
    <r>
      <rPr>
        <sz val="8"/>
        <color rgb="FF000000"/>
        <rFont val="Arial"/>
        <family val="2"/>
      </rPr>
      <t>Adjusted results are defined as income at replacement cost, excluding non-recurring items, and excluding the impact of fair value changes.</t>
    </r>
  </si>
  <si>
    <r>
      <t>Adjusted fully diluted earnings per share</t>
    </r>
    <r>
      <rPr>
        <vertAlign val="superscript"/>
        <sz val="9"/>
        <rFont val="Arial"/>
        <family val="2"/>
      </rPr>
      <t xml:space="preserve"> ($)(1)</t>
    </r>
  </si>
  <si>
    <t>(1) Adjusted results are defined as income at replacement cost, excluding non-recurring items, and excluding the impact of fair value changes.</t>
  </si>
  <si>
    <t>(2) Based on the fully-diluted weighted-average number of common shares outstanding during the period.</t>
  </si>
  <si>
    <t>SHARE INFORMATION</t>
  </si>
  <si>
    <t>Shares outstanding (as of December 31)</t>
  </si>
  <si>
    <r>
      <t>Weighted-average number of fully-diluted shares</t>
    </r>
    <r>
      <rPr>
        <vertAlign val="superscript"/>
        <sz val="9"/>
        <rFont val="Arial"/>
        <family val="2"/>
      </rPr>
      <t> (1)</t>
    </r>
  </si>
  <si>
    <t>2 389 713 936</t>
  </si>
  <si>
    <r>
      <t>Shares on a fully-diluted basis (as of December 31) </t>
    </r>
    <r>
      <rPr>
        <vertAlign val="superscript"/>
        <sz val="9"/>
        <rFont val="Arial"/>
        <family val="2"/>
      </rPr>
      <t>(1)</t>
    </r>
  </si>
  <si>
    <t>Treasury Shares</t>
  </si>
  <si>
    <t>Price per share (€)</t>
  </si>
  <si>
    <t>High</t>
  </si>
  <si>
    <t>Low</t>
  </si>
  <si>
    <t>Year-end</t>
  </si>
  <si>
    <t>Price per ADR ($)</t>
  </si>
  <si>
    <t>Market capitalization at year-end, computed on shares outstanding</t>
  </si>
  <si>
    <t>Billion €</t>
  </si>
  <si>
    <t>Billion $</t>
  </si>
  <si>
    <t>Trading volume (daily average)</t>
  </si>
  <si>
    <t>Euronext Paris</t>
  </si>
  <si>
    <t>New York Stock Exchange (number of ADRs)</t>
  </si>
  <si>
    <r>
      <t>Adjusted fully-diluted earnings per share ($)</t>
    </r>
    <r>
      <rPr>
        <vertAlign val="superscript"/>
        <sz val="9"/>
        <rFont val="Arial"/>
        <family val="2"/>
      </rPr>
      <t> (2)</t>
    </r>
  </si>
  <si>
    <t>Dividend per share (€)</t>
  </si>
  <si>
    <t>Dividend per ADR ($)</t>
  </si>
  <si>
    <r>
      <t>Pay-out </t>
    </r>
    <r>
      <rPr>
        <vertAlign val="superscript"/>
        <sz val="9"/>
        <rFont val="Arial"/>
        <family val="2"/>
      </rPr>
      <t>(5)</t>
    </r>
  </si>
  <si>
    <r>
      <t>Price-to-earning ratio </t>
    </r>
    <r>
      <rPr>
        <vertAlign val="superscript"/>
        <sz val="9"/>
        <rFont val="Arial"/>
        <family val="2"/>
      </rPr>
      <t>(6)</t>
    </r>
  </si>
  <si>
    <r>
      <t>Yield</t>
    </r>
    <r>
      <rPr>
        <vertAlign val="superscript"/>
        <sz val="9"/>
        <rFont val="Arial"/>
        <family val="2"/>
      </rPr>
      <t> (7)</t>
    </r>
  </si>
  <si>
    <r>
      <rPr>
        <sz val="8"/>
        <rFont val="Krungthep"/>
        <family val="2"/>
      </rPr>
      <t>﻿</t>
    </r>
    <r>
      <rPr>
        <sz val="8"/>
        <rFont val="Arial"/>
        <family val="2"/>
      </rPr>
      <t>(1) Excluding shares owned by the Group and cancelled in the Consolidated Balance Sheet under IFRS.</t>
    </r>
  </si>
  <si>
    <r>
      <rPr>
        <sz val="8"/>
        <rFont val="Krungthep"/>
        <family val="2"/>
      </rPr>
      <t>﻿</t>
    </r>
    <r>
      <rPr>
        <sz val="8"/>
        <rFont val="Arial"/>
        <family val="2"/>
      </rPr>
      <t>(2) Adjusted results are defined as income at replacement cost, excluding non-recurring items, and excluding the impact of fair value changes.</t>
    </r>
  </si>
  <si>
    <r>
      <rPr>
        <sz val="8"/>
        <rFont val="Krungthep"/>
        <family val="2"/>
      </rPr>
      <t>﻿</t>
    </r>
    <r>
      <rPr>
        <sz val="8"/>
        <rFont val="Arial"/>
        <family val="2"/>
      </rPr>
      <t>(5) Dividend (€)</t>
    </r>
    <r>
      <rPr>
        <sz val="8"/>
        <rFont val="Monaco"/>
        <family val="2"/>
      </rPr>
      <t>⁠</t>
    </r>
    <r>
      <rPr>
        <sz val="8"/>
        <rFont val="Arial"/>
        <family val="2"/>
      </rPr>
      <t>/</t>
    </r>
    <r>
      <rPr>
        <sz val="8"/>
        <rFont val="Monaco"/>
        <family val="2"/>
      </rPr>
      <t>⁠</t>
    </r>
    <r>
      <rPr>
        <sz val="8"/>
        <rFont val="Arial"/>
        <family val="2"/>
      </rPr>
      <t>adjusted fully-diluted earnings per share.</t>
    </r>
  </si>
  <si>
    <r>
      <rPr>
        <sz val="8"/>
        <rFont val="Krungthep"/>
        <family val="2"/>
      </rPr>
      <t>﻿</t>
    </r>
    <r>
      <rPr>
        <sz val="8"/>
        <rFont val="Arial"/>
        <family val="2"/>
      </rPr>
      <t>(6) Share price at year-end (€)</t>
    </r>
    <r>
      <rPr>
        <sz val="8"/>
        <rFont val="Monaco"/>
        <family val="2"/>
      </rPr>
      <t>⁠</t>
    </r>
    <r>
      <rPr>
        <sz val="8"/>
        <rFont val="Arial"/>
        <family val="2"/>
      </rPr>
      <t>/</t>
    </r>
    <r>
      <rPr>
        <sz val="8"/>
        <rFont val="Monaco"/>
        <family val="2"/>
      </rPr>
      <t>⁠</t>
    </r>
    <r>
      <rPr>
        <sz val="8"/>
        <rFont val="Arial"/>
        <family val="2"/>
      </rPr>
      <t>adjusted fully-diluted earnings per share.</t>
    </r>
  </si>
  <si>
    <r>
      <rPr>
        <sz val="8"/>
        <rFont val="Krungthep"/>
        <family val="2"/>
      </rPr>
      <t>﻿</t>
    </r>
    <r>
      <rPr>
        <sz val="8"/>
        <rFont val="Arial"/>
        <family val="2"/>
      </rPr>
      <t>(7) Dividend (€)</t>
    </r>
    <r>
      <rPr>
        <sz val="8"/>
        <rFont val="Monaco"/>
        <family val="2"/>
      </rPr>
      <t>⁠</t>
    </r>
    <r>
      <rPr>
        <sz val="8"/>
        <rFont val="Arial"/>
        <family val="2"/>
      </rPr>
      <t>/</t>
    </r>
    <r>
      <rPr>
        <sz val="8"/>
        <rFont val="Monaco"/>
        <family val="2"/>
      </rPr>
      <t>⁠</t>
    </r>
    <r>
      <rPr>
        <sz val="8"/>
        <rFont val="Arial"/>
        <family val="2"/>
      </rPr>
      <t>share price at year-end.</t>
    </r>
  </si>
  <si>
    <t>CORPORATE</t>
  </si>
  <si>
    <t>UPSTREAM</t>
  </si>
  <si>
    <t>REFINING &amp; CHEMICALS</t>
  </si>
  <si>
    <t>MARKETING &amp; SERVICES</t>
  </si>
  <si>
    <t xml:space="preserve">NOTE ON FINANCIAL STATEMENTS </t>
  </si>
  <si>
    <t>Year 2017</t>
  </si>
  <si>
    <t>As of December 31, 2017</t>
  </si>
  <si>
    <t>As of December 31, 2017</t>
  </si>
  <si>
    <t>(9) Organic investments = net investments, excluding acquisitions, divestments and other operations with non-controlling interests.</t>
  </si>
  <si>
    <t>(8) Including acquisitions and increases in non-current loans.</t>
  </si>
  <si>
    <t>(7) DACF = debt adjusted cash flow. Cash flow from operating activities before changes in working capital at replacement cost, without financial charges.</t>
  </si>
  <si>
    <t>(6) Operating cash flow before working capital changes, previously referred to as adjusted cash flow from operations, is defined as cash flow from operating activities
before changes in working capital at replacement cost.</t>
  </si>
  <si>
    <t xml:space="preserve">(4) 2017 estimated dividend in dollars includes the first quarterly interim ADR dividend of $0.73 paid in October 2017 and the second quarterly interim ADR dividend of $0.75 paid in January 2018, as well as the third quarterly interim ADR dividend of $0.74 payable in April 2018 and the proposed final interim ADR dividend of $0.74 payable in June 2018, both converted at a rate of $1.20/€. </t>
  </si>
  <si>
    <t>(3) 2017 dividend subject to approval at the June 1, 2018 Annual Shareholders’ Meeting.</t>
  </si>
  <si>
    <r>
      <t>Organic investments</t>
    </r>
    <r>
      <rPr>
        <vertAlign val="superscript"/>
        <sz val="9"/>
        <rFont val="Arial"/>
        <family val="2"/>
      </rPr>
      <t>(9)</t>
    </r>
  </si>
  <si>
    <r>
      <t>Gross investments</t>
    </r>
    <r>
      <rPr>
        <vertAlign val="superscript"/>
        <sz val="9"/>
        <rFont val="Arial"/>
        <family val="2"/>
      </rPr>
      <t>(8)</t>
    </r>
  </si>
  <si>
    <r>
      <t>Operating cash flow before working capital changes w/o financial charges (DACF)</t>
    </r>
    <r>
      <rPr>
        <vertAlign val="superscript"/>
        <sz val="9"/>
        <rFont val="Arial"/>
        <family val="2"/>
      </rPr>
      <t>(7)</t>
    </r>
  </si>
  <si>
    <r>
      <t>Operating cash flow before working capital changes</t>
    </r>
    <r>
      <rPr>
        <vertAlign val="superscript"/>
        <sz val="9"/>
        <rFont val="Arial"/>
        <family val="2"/>
      </rPr>
      <t>(6)</t>
    </r>
  </si>
  <si>
    <t>2,96(3)(4)</t>
  </si>
  <si>
    <t>2,48(3)</t>
  </si>
  <si>
    <t>Gas, Renewables &amp; Power</t>
  </si>
  <si>
    <t>Exploration &amp; Production</t>
  </si>
  <si>
    <t>Adjusted net income Group Share</t>
  </si>
  <si>
    <t>ok</t>
  </si>
  <si>
    <r>
      <t>(10) $814 million of OML 138 in Nigeria has been classified as “Liabilities directly associated with the assets classified as held for sale”. $50 million of Block 15</t>
    </r>
    <r>
      <rPr>
        <sz val="8"/>
        <color theme="1"/>
        <rFont val="Monaco"/>
        <family val="2"/>
      </rPr>
      <t>⁠</t>
    </r>
    <r>
      <rPr>
        <sz val="8"/>
        <color theme="1"/>
        <rFont val="Arial"/>
        <family val="2"/>
      </rPr>
      <t>/</t>
    </r>
    <r>
      <rPr>
        <sz val="8"/>
        <color theme="1"/>
        <rFont val="Monaco"/>
        <family val="2"/>
      </rPr>
      <t>⁠</t>
    </r>
    <r>
      <rPr>
        <sz val="8"/>
        <color theme="1"/>
        <rFont val="Arial"/>
        <family val="2"/>
      </rPr>
      <t>06 in Angola has been classified as “Liabilities directly associated with the assets classified as held for sale”.</t>
    </r>
  </si>
  <si>
    <r>
      <t>(9) $2,527 million of OML 138 in Nigeria has been classified as “Assets classified as held for sale”. $726 million of Block 15</t>
    </r>
    <r>
      <rPr>
        <sz val="8"/>
        <color theme="1"/>
        <rFont val="Monaco"/>
        <family val="2"/>
      </rPr>
      <t>⁠</t>
    </r>
    <r>
      <rPr>
        <sz val="8"/>
        <color theme="1"/>
        <rFont val="Arial"/>
        <family val="2"/>
      </rPr>
      <t>/</t>
    </r>
    <r>
      <rPr>
        <sz val="8"/>
        <color theme="1"/>
        <rFont val="Monaco"/>
        <family val="2"/>
      </rPr>
      <t>⁠</t>
    </r>
    <r>
      <rPr>
        <sz val="8"/>
        <color theme="1"/>
        <rFont val="Arial"/>
        <family val="2"/>
      </rPr>
      <t>06 in Angola has been classified as “Assets classified as held for sale”.</t>
    </r>
  </si>
  <si>
    <t>(8) $831 million of OML 138 in Nigeria has been classified as “Liabilities directly associated with the assets classified as held for sale”. $606 million of Bostik has been classified as “Liabilities directly associated with the assets classified as held for sale”. $58 million of TCSA has been classified as “Liabilities directly associated with the assets classified as held for sale”. $265 million of Totalgaz has been classified as “Liabilities directly associated with the assets classified as held for sale”.</t>
  </si>
  <si>
    <t>(7) $2,401 million of OML 138 in Nigeria has been classified as “Assets classified as held for sale”. $1,664 million of Bostik has been classified as “Assets classified as held for sale”. $469 million of TCSA has been classified as “Assets held for sale”. $367 million of Totalgaz has been classified as “Assets held for sale”.</t>
  </si>
  <si>
    <t>(6) $82 million of Fuka in United Kingdom has been classified as “Liabilities directly associated with the assets classified as held for sale”. $258 million of Total Turkyie has been classified as “Liabilities directly associated with the assets classified as held for sale”. $164 million of Kharyaga in Russia has been classified as “Liabilities directly associated with the assets classified as held for sale”.</t>
  </si>
  <si>
    <t>(5) $497 million of Fuka in United Kingdom has been classified as “Assets classified as held for sale”. $458 million of Total Turkyie has been classified as “Assets classified as held for sale”. $234 million of Kharyaga in Russia has been classified as “Assets held for sale”.</t>
  </si>
  <si>
    <t>(4) $491 million of Atotech has been classified as “Liabilities directly associated with the assets classified as held for sale”.</t>
  </si>
  <si>
    <t xml:space="preserve">(3) $1,077 million of Atotech has been classified as “Assets classified as held for sale”. </t>
  </si>
  <si>
    <t>(2) $1,106 million of Martin Linge in Norway has been classified as “Liabilities directly associated with the assets classified as held for sale”.</t>
  </si>
  <si>
    <t xml:space="preserve">(1) $2,581 million of Martin Linge in Norway has been classified as “Assets classified as held for sale”. $166 million of Total Erg in Italy has been classified as “Assets classified as held for sale”. </t>
  </si>
  <si>
    <t>864 (10)</t>
  </si>
  <si>
    <t>1 760 (8)</t>
  </si>
  <si>
    <t>504 (6)</t>
  </si>
  <si>
    <t>491 (4)</t>
  </si>
  <si>
    <t>1106 (2)</t>
  </si>
  <si>
    <t>3 253 (9)</t>
  </si>
  <si>
    <t>4 901 (7)</t>
  </si>
  <si>
    <t>1 189 (5)</t>
  </si>
  <si>
    <t>1 077 (3)</t>
  </si>
  <si>
    <t>2747 (1)</t>
  </si>
  <si>
    <r>
      <rPr>
        <sz val="8"/>
        <color theme="1"/>
        <rFont val="Krungthep"/>
        <family val="2"/>
      </rPr>
      <t>﻿</t>
    </r>
    <r>
      <rPr>
        <sz val="8"/>
        <color theme="1"/>
        <rFont val="Arial"/>
        <family val="2"/>
      </rPr>
      <t xml:space="preserve">(1) As of December 31,2017 accumulated depreciation, depletion and amortization amounted to </t>
    </r>
    <r>
      <rPr>
        <sz val="8"/>
        <color theme="1"/>
        <rFont val="Noteworthy Bold"/>
        <family val="2"/>
      </rPr>
      <t>﻿</t>
    </r>
    <r>
      <rPr>
        <sz val="8"/>
        <color theme="1"/>
        <rFont val="Arial"/>
        <family val="2"/>
      </rPr>
      <t>153,544 M$.</t>
    </r>
  </si>
  <si>
    <t>Total Exploration &amp; Production properties</t>
  </si>
  <si>
    <t>(5) 2022 and after.</t>
  </si>
  <si>
    <t>(4) 2021 and after.</t>
  </si>
  <si>
    <t>(3) 2020 and after.</t>
  </si>
  <si>
    <t>(2) 2019 and after.</t>
  </si>
  <si>
    <t>2023 and beyond</t>
  </si>
  <si>
    <t>23 607 (5)</t>
  </si>
  <si>
    <t>23 716 (4)</t>
  </si>
  <si>
    <t>25 606 (3)</t>
  </si>
  <si>
    <t>15 461 (2)</t>
  </si>
  <si>
    <t>As of January 1, 2013</t>
  </si>
  <si>
    <t>Other transactions with non controlling interest</t>
  </si>
  <si>
    <t>﻿Exploration &amp; Production</t>
  </si>
  <si>
    <r>
      <rPr>
        <sz val="8"/>
        <color theme="1"/>
        <rFont val="Krungthep"/>
        <family val="2"/>
      </rPr>
      <t>﻿</t>
    </r>
    <r>
      <rPr>
        <sz val="8"/>
        <color theme="1"/>
        <rFont val="Arial"/>
        <family val="2"/>
      </rPr>
      <t>(4)</t>
    </r>
    <r>
      <rPr>
        <sz val="8"/>
        <color theme="1"/>
        <rFont val="Krungthep"/>
        <family val="2"/>
      </rPr>
      <t xml:space="preserve">﻿ </t>
    </r>
    <r>
      <rPr>
        <sz val="8"/>
        <color theme="1"/>
        <rFont val="Arial"/>
        <family val="2"/>
      </rPr>
      <t>Estimated dividend in dollars includes the first quarterly interim ADR dividend of $0.73 paid in October 2017 and the second quarterly interim ADR dividend of $0.75
paid in January 2018, as well as the third quarterly interim ADR dividend of $0.74 payable in April 2018 and the proposed final interim ADR dividend of $0.74 payable in
June 2018, both converted at a rate of $1.20/€.</t>
    </r>
  </si>
  <si>
    <r>
      <rPr>
        <sz val="8"/>
        <color theme="1"/>
        <rFont val="Krungthep"/>
        <family val="2"/>
      </rPr>
      <t>﻿</t>
    </r>
    <r>
      <rPr>
        <sz val="8"/>
        <color theme="1"/>
        <rFont val="Arial"/>
        <family val="2"/>
      </rPr>
      <t xml:space="preserve">(3) </t>
    </r>
    <r>
      <rPr>
        <sz val="8"/>
        <color theme="1"/>
        <rFont val="Krungthep"/>
        <family val="2"/>
      </rPr>
      <t>﻿</t>
    </r>
    <r>
      <rPr>
        <sz val="8"/>
        <color theme="1"/>
        <rFont val="Arial"/>
        <family val="2"/>
      </rPr>
      <t>Subject to approval by the Shareholders’ meeting on June 1, 2018.</t>
    </r>
  </si>
  <si>
    <t>2.67 </t>
  </si>
  <si>
    <r>
      <t>2.96</t>
    </r>
    <r>
      <rPr>
        <vertAlign val="superscript"/>
        <sz val="9"/>
        <color indexed="10"/>
        <rFont val="Arial"/>
        <family val="2"/>
      </rPr>
      <t>(3)(4)</t>
    </r>
  </si>
  <si>
    <r>
      <t>2.48</t>
    </r>
    <r>
      <rPr>
        <vertAlign val="superscript"/>
        <sz val="9"/>
        <rFont val="Arial"/>
        <family val="2"/>
      </rPr>
      <t>(3)</t>
    </r>
  </si>
  <si>
    <t>(5) DACF = debt adjusted cash flow. Cash flow from operating activities before changes in working capital at replacement cost, without financial charges.</t>
  </si>
  <si>
    <t>(4) Organic investments = net investments, excluding acquisitions, divestments and other operations with non-controlling interests.</t>
  </si>
  <si>
    <t>(3) Including acquisitions and increases in non current-loans.</t>
  </si>
  <si>
    <t>(2) Adjusted results are defined as income at replacement cost, excluding non-recurring items, and excluding the impact of fair value changes.</t>
  </si>
  <si>
    <t>(1) 2013 and 2014 data are not restated to reflect the new organization with four business segments therefore the data shown for 2013 and 2014 include Gas businesses.</t>
  </si>
  <si>
    <r>
      <t>Cash flow from operations before working capital changes w/o financial charges (DACF)</t>
    </r>
    <r>
      <rPr>
        <vertAlign val="superscript"/>
        <sz val="9"/>
        <rFont val="Arial"/>
        <family val="2"/>
      </rPr>
      <t>(5)</t>
    </r>
  </si>
  <si>
    <r>
      <t>Organic investments </t>
    </r>
    <r>
      <rPr>
        <vertAlign val="superscript"/>
        <sz val="9"/>
        <rFont val="Arial"/>
        <family val="2"/>
      </rPr>
      <t>(4)</t>
    </r>
  </si>
  <si>
    <r>
      <t>Gross investments </t>
    </r>
    <r>
      <rPr>
        <vertAlign val="superscript"/>
        <sz val="9"/>
        <rFont val="Arial"/>
        <family val="2"/>
      </rPr>
      <t>(3)</t>
    </r>
  </si>
  <si>
    <r>
      <t>Adjusted net operating income </t>
    </r>
    <r>
      <rPr>
        <vertAlign val="superscript"/>
        <sz val="9"/>
        <rFont val="Arial"/>
        <family val="2"/>
      </rPr>
      <t>(2)</t>
    </r>
  </si>
  <si>
    <r>
      <t xml:space="preserve">FINANCIAL HIGHLIGHTS </t>
    </r>
    <r>
      <rPr>
        <b/>
        <vertAlign val="superscript"/>
        <sz val="12"/>
        <color rgb="FFFF6E23"/>
        <rFont val="Arial"/>
        <family val="2"/>
      </rPr>
      <t>(1)</t>
    </r>
  </si>
  <si>
    <r>
      <t>Cash flow from operations before working capital changes w/o financial charges (DACF)</t>
    </r>
    <r>
      <rPr>
        <vertAlign val="superscript"/>
        <sz val="9"/>
        <rFont val="Arial"/>
        <family val="2"/>
      </rPr>
      <t>(4)</t>
    </r>
  </si>
  <si>
    <t>(1) 2013 and 2014 data are not restated to reflect the new organization with four business segments therefore the data shown for 2013 and 2014 do not include biofuel businesses.</t>
  </si>
  <si>
    <r>
      <t xml:space="preserve">Cash flow from operations before working capital changes w/o financial charges (DACF) </t>
    </r>
    <r>
      <rPr>
        <vertAlign val="superscript"/>
        <sz val="9"/>
        <rFont val="Arial"/>
        <family val="2"/>
      </rPr>
      <t>(5)</t>
    </r>
  </si>
  <si>
    <r>
      <rPr>
        <b/>
        <sz val="12"/>
        <color rgb="FFFF6E23"/>
        <rFont val="Lucida Sans Unicode"/>
        <family val="2"/>
      </rPr>
      <t>﻿</t>
    </r>
    <r>
      <rPr>
        <b/>
        <sz val="12"/>
        <color rgb="FFFF6E23"/>
        <rFont val="Arial Bold"/>
        <family val="2"/>
      </rPr>
      <t xml:space="preserve">FINANCIAL HIGHLIGHTS </t>
    </r>
    <r>
      <rPr>
        <b/>
        <vertAlign val="superscript"/>
        <sz val="12"/>
        <color rgb="FFFF6E23"/>
        <rFont val="Arial Bold"/>
        <family val="2"/>
      </rPr>
      <t>(1)</t>
    </r>
  </si>
  <si>
    <r>
      <rPr>
        <sz val="8"/>
        <color theme="1"/>
        <rFont val="Arial"/>
        <family val="2"/>
      </rPr>
      <t>(1) Including bitumen.</t>
    </r>
  </si>
  <si>
    <t>Combined production (Kboe/d)</t>
  </si>
  <si>
    <t>Gas (Mcf/d)</t>
  </si>
  <si>
    <r>
      <rPr>
        <sz val="9"/>
        <rFont val="Arial"/>
        <family val="2"/>
      </rPr>
      <t>Liquids (Kb</t>
    </r>
    <r>
      <rPr>
        <sz val="9"/>
        <rFont val="Monaco"/>
        <family val="2"/>
      </rPr>
      <t>⁠</t>
    </r>
    <r>
      <rPr>
        <sz val="9"/>
        <rFont val="Arial"/>
        <family val="2"/>
      </rPr>
      <t>/</t>
    </r>
    <r>
      <rPr>
        <sz val="9"/>
        <rFont val="Monaco"/>
        <family val="2"/>
      </rPr>
      <t>⁠</t>
    </r>
    <r>
      <rPr>
        <sz val="9"/>
        <rFont val="Arial"/>
        <family val="2"/>
      </rPr>
      <t>d)</t>
    </r>
    <r>
      <rPr>
        <vertAlign val="superscript"/>
        <sz val="9"/>
        <rFont val="Arial"/>
        <family val="2"/>
      </rPr>
      <t> (1)</t>
    </r>
  </si>
  <si>
    <r>
      <rPr>
        <sz val="8"/>
        <color theme="1"/>
        <rFont val="Arial"/>
        <family val="2"/>
      </rPr>
      <t>(2) Including bitumen.</t>
    </r>
  </si>
  <si>
    <r>
      <rPr>
        <sz val="8"/>
        <color theme="1"/>
        <rFont val="Arial"/>
        <family val="2"/>
      </rPr>
      <t xml:space="preserve">(1) Proved reserves are calculated in accordance with the United States Securities and Exchange Commission regulations.
</t>
    </r>
  </si>
  <si>
    <t>Total (Mboe)</t>
  </si>
  <si>
    <t>Gas (Bcf)</t>
  </si>
  <si>
    <r>
      <rPr>
        <sz val="9"/>
        <rFont val="Arial"/>
        <family val="2"/>
      </rPr>
      <t>Liquids (Mb)</t>
    </r>
    <r>
      <rPr>
        <vertAlign val="superscript"/>
        <sz val="9"/>
        <rFont val="Arial"/>
        <family val="2"/>
      </rPr>
      <t> (2)</t>
    </r>
  </si>
  <si>
    <r>
      <t>PROVED RESERVES</t>
    </r>
    <r>
      <rPr>
        <b/>
        <vertAlign val="superscript"/>
        <sz val="12"/>
        <color rgb="FFFF6E23"/>
        <rFont val="Arial"/>
        <family val="2"/>
      </rPr>
      <t>(1)</t>
    </r>
  </si>
  <si>
    <t>(6) Reserves at year-end / production of the year.</t>
  </si>
  <si>
    <t>(5) (Revisions + extensions, discoveries) / production for the period; excluding acquisitions and sales of reserves.</t>
  </si>
  <si>
    <r>
      <rPr>
        <sz val="8"/>
        <color theme="1"/>
        <rFont val="Arial"/>
        <family val="2"/>
      </rPr>
      <t>(4) Including the mechanical effect of changes in oil prices at year-end.</t>
    </r>
  </si>
  <si>
    <t>(3) (Revisions + extensions, discoveries + acquisitions – sales of reserves) / production for the period.</t>
  </si>
  <si>
    <t>(2) Total costs incurred / (revisions + extensions, discoveries + acquisitions)</t>
  </si>
  <si>
    <r>
      <t>(1)</t>
    </r>
    <r>
      <rPr>
        <sz val="8"/>
        <color theme="1"/>
        <rFont val="Krungthep"/>
        <family val="2"/>
      </rPr>
      <t>﻿</t>
    </r>
    <r>
      <rPr>
        <sz val="8"/>
        <color theme="1"/>
        <rFont val="Arial"/>
        <family val="2"/>
      </rPr>
      <t xml:space="preserve"> (Exploration costs + unproved property acquisition) / (revisions + extensions and discoveries).
</t>
    </r>
  </si>
  <si>
    <t>﻿13,5</t>
  </si>
  <si>
    <r>
      <t>Reserve life</t>
    </r>
    <r>
      <rPr>
        <vertAlign val="superscript"/>
        <sz val="9"/>
        <rFont val="Arial"/>
        <family val="2"/>
      </rPr>
      <t>(6)</t>
    </r>
  </si>
  <si>
    <t>(in years)</t>
  </si>
  <si>
    <r>
      <t>Organic reserve replacement rate (%)</t>
    </r>
    <r>
      <rPr>
        <vertAlign val="superscript"/>
        <sz val="9"/>
        <rFont val="Arial"/>
        <family val="2"/>
      </rPr>
      <t> (4) (5)</t>
    </r>
  </si>
  <si>
    <r>
      <t>Reserve replacement rate (%)</t>
    </r>
    <r>
      <rPr>
        <b/>
        <vertAlign val="superscript"/>
        <sz val="9"/>
        <rFont val="Arial"/>
        <family val="2"/>
      </rPr>
      <t> (3) (4)</t>
    </r>
  </si>
  <si>
    <r>
      <t>Reserve replacement costs ($</t>
    </r>
    <r>
      <rPr>
        <b/>
        <sz val="9"/>
        <rFont val="Arial"/>
        <family val="2"/>
      </rPr>
      <t>/</t>
    </r>
    <r>
      <rPr>
        <b/>
        <sz val="9"/>
        <rFont val="Arial"/>
        <family val="2"/>
      </rPr>
      <t>boe)</t>
    </r>
    <r>
      <rPr>
        <b/>
        <vertAlign val="superscript"/>
        <sz val="9"/>
        <rFont val="Arial"/>
        <family val="2"/>
      </rPr>
      <t> (2)</t>
    </r>
  </si>
  <si>
    <r>
      <t>Finding costs ($/</t>
    </r>
    <r>
      <rPr>
        <b/>
        <sz val="9"/>
        <rFont val="Arial"/>
        <family val="2"/>
      </rPr>
      <t>boe)</t>
    </r>
    <r>
      <rPr>
        <b/>
        <vertAlign val="superscript"/>
        <sz val="9"/>
        <rFont val="Arial"/>
        <family val="2"/>
      </rPr>
      <t> (1)</t>
    </r>
  </si>
  <si>
    <t>2008-2010</t>
  </si>
  <si>
    <t>2009-2011</t>
  </si>
  <si>
    <t>2010-2012</t>
  </si>
  <si>
    <t>2011-2013</t>
  </si>
  <si>
    <t>2012-2014</t>
  </si>
  <si>
    <t>2013-2015</t>
  </si>
  <si>
    <t>2014-2016</t>
  </si>
  <si>
    <t>2015-2017</t>
  </si>
  <si>
    <t>(three-year average)</t>
  </si>
  <si>
    <t>KEY OPERATING RATIOS ON PROVED RESERVES - GROUP</t>
  </si>
  <si>
    <t>(4) (Production costs + exploration expenses + DD&amp;A) / production of the year.</t>
  </si>
  <si>
    <r>
      <rPr>
        <sz val="8"/>
        <color theme="1"/>
        <rFont val="Arial"/>
        <family val="2"/>
      </rPr>
      <t>(3) Excluding non-recurring items.</t>
    </r>
  </si>
  <si>
    <t>(1) (Exploration costs + unproved property acquisition) / (revisions + extensions, discoveries).</t>
  </si>
  <si>
    <r>
      <t>Technical costs</t>
    </r>
    <r>
      <rPr>
        <vertAlign val="superscript"/>
        <sz val="9"/>
        <rFont val="Arial"/>
        <family val="2"/>
      </rPr>
      <t xml:space="preserve"> (3)</t>
    </r>
    <r>
      <rPr>
        <sz val="9"/>
        <rFont val="Arial"/>
        <family val="2"/>
      </rPr>
      <t> </t>
    </r>
    <r>
      <rPr>
        <vertAlign val="superscript"/>
        <sz val="9"/>
        <rFont val="Arial"/>
        <family val="2"/>
      </rPr>
      <t>(4)</t>
    </r>
  </si>
  <si>
    <t>DD&amp;A</t>
  </si>
  <si>
    <t>Operating costs</t>
  </si>
  <si>
    <t>(in dollars per barrel of oil equivalent)</t>
  </si>
  <si>
    <r>
      <t>Reserve replacement costs </t>
    </r>
    <r>
      <rPr>
        <b/>
        <vertAlign val="superscript"/>
        <sz val="9"/>
        <rFont val="Arial"/>
        <family val="2"/>
      </rPr>
      <t>(2)</t>
    </r>
  </si>
  <si>
    <r>
      <rPr>
        <b/>
        <sz val="9"/>
        <rFont val="Arial"/>
        <family val="2"/>
      </rPr>
      <t>Finding costs</t>
    </r>
    <r>
      <rPr>
        <b/>
        <vertAlign val="superscript"/>
        <sz val="9"/>
        <rFont val="Arial"/>
        <family val="2"/>
      </rPr>
      <t> (1)</t>
    </r>
  </si>
  <si>
    <t>(3) The Group’s production in Canada consists of bitumen only. All of the Group’s bitumen production is in Canada.</t>
  </si>
  <si>
    <t>(2) Including fuel gas (473 Mcf/d ni 2017, 448 Mcf/d in 2016, 435 Mcf/d in 2015, 426 Mcf/d in 2014, 415 Mcf/d in 2013, 394 Mcf/d in 2012).</t>
  </si>
  <si>
    <t>﻿(1) The geographical zones are as follows: Europe and Central Asia; Africa (excluding North Africa); Middle East and North Africa; Americas; and Asia-Pacific. 2012-2015 data have been restated accordingly.</t>
  </si>
  <si>
    <t>Yemen</t>
  </si>
  <si>
    <t>Venezuela</t>
  </si>
  <si>
    <t>Russia</t>
  </si>
  <si>
    <t>Qatar</t>
  </si>
  <si>
    <t>Oman</t>
  </si>
  <si>
    <t>United Arab Emirates</t>
  </si>
  <si>
    <t>Angola</t>
  </si>
  <si>
    <t>Including share of equity affiliates</t>
  </si>
  <si>
    <t>Total production</t>
  </si>
  <si>
    <t>Thailand</t>
  </si>
  <si>
    <t>Myanmar</t>
  </si>
  <si>
    <t>Indonesia</t>
  </si>
  <si>
    <t>China</t>
  </si>
  <si>
    <t>Brunei</t>
  </si>
  <si>
    <t>Australia</t>
  </si>
  <si>
    <t>Asia Pacific</t>
  </si>
  <si>
    <t>United States</t>
  </si>
  <si>
    <t>Trinidad &amp; Tobago</t>
  </si>
  <si>
    <t>Colombia</t>
  </si>
  <si>
    <r>
      <t>Canada</t>
    </r>
    <r>
      <rPr>
        <vertAlign val="superscript"/>
        <sz val="9"/>
        <rFont val="Arial"/>
        <family val="2"/>
      </rPr>
      <t>(3)</t>
    </r>
  </si>
  <si>
    <t>&lt;1</t>
  </si>
  <si>
    <t>Brazil</t>
  </si>
  <si>
    <t>Bolivia</t>
  </si>
  <si>
    <t>Argentina</t>
  </si>
  <si>
    <t>Americas</t>
  </si>
  <si>
    <t>Libya</t>
  </si>
  <si>
    <t>Iraq</t>
  </si>
  <si>
    <t>Algeria</t>
  </si>
  <si>
    <t>Middle East and North Africa</t>
  </si>
  <si>
    <t>Nigeria</t>
  </si>
  <si>
    <t>Gabon</t>
  </si>
  <si>
    <t>The Congo, Republic of</t>
  </si>
  <si>
    <t>Africa (excl. North Africa)</t>
  </si>
  <si>
    <t>United Kingdom</t>
  </si>
  <si>
    <t>Netherlands</t>
  </si>
  <si>
    <t>Norway</t>
  </si>
  <si>
    <t>Kazakhstan</t>
  </si>
  <si>
    <t>Italy</t>
  </si>
  <si>
    <t>Azerbaijan</t>
  </si>
  <si>
    <t>Europe and Central Asia</t>
  </si>
  <si>
    <t>(in thousands of barrels of oil equivalent per day)</t>
  </si>
  <si>
    <r>
      <t>Combined liquids and gas production</t>
    </r>
    <r>
      <rPr>
        <b/>
        <vertAlign val="superscript"/>
        <sz val="12"/>
        <color rgb="FFFF6E23"/>
        <rFont val="Arial"/>
        <family val="2"/>
      </rPr>
      <t>(1)(2)</t>
    </r>
  </si>
  <si>
    <r>
      <t xml:space="preserve">(1) </t>
    </r>
    <r>
      <rPr>
        <sz val="8"/>
        <color theme="1"/>
        <rFont val="Noteworthy Bold"/>
        <family val="2"/>
      </rPr>
      <t>﻿</t>
    </r>
    <r>
      <rPr>
        <sz val="8"/>
        <color theme="1"/>
        <rFont val="Arial"/>
        <family val="2"/>
      </rPr>
      <t>Liquids consist of crude oil, bitumen, condensates and natural gas liquids (NGL). With respect to bitumen, the Group’s production in Canada consists of bitumen only, and all of the Group’s bitumen production is in Canada. With respect to NGL, the table above does not set forth separate figures for NGL because they represented less than 7.5% of the Group’s total liquids production in each of the years 2012, 2013, 2014, 2015, 2016 and 2017.</t>
    </r>
  </si>
  <si>
    <t>&lt; 1</t>
  </si>
  <si>
    <t>Canada</t>
  </si>
  <si>
    <t>(in thousands of barrels per day)</t>
  </si>
  <si>
    <r>
      <t xml:space="preserve">(1) </t>
    </r>
    <r>
      <rPr>
        <sz val="8"/>
        <color theme="1"/>
        <rFont val="Noteworthy Bold"/>
        <family val="2"/>
      </rPr>
      <t>﻿</t>
    </r>
    <r>
      <rPr>
        <sz val="8"/>
        <color theme="1"/>
        <rFont val="Arial"/>
        <family val="2"/>
      </rPr>
      <t>Including fuel gas (473 Mcf/d in 2017, 448 Mcf/d in 2016, 435 Mcf/d in 2015, 426 Mcf/d in 2014, 415 Mcf/d in 2013, 394 Mcf/d in 2012).</t>
    </r>
  </si>
  <si>
    <t>(in millions of cubic feet per day)</t>
  </si>
  <si>
    <r>
      <t>GAS PRODUCTION</t>
    </r>
    <r>
      <rPr>
        <b/>
        <vertAlign val="superscript"/>
        <sz val="12"/>
        <color rgb="FFFF6E23"/>
        <rFont val="Arial"/>
        <family val="2"/>
      </rPr>
      <t>(1)</t>
    </r>
  </si>
  <si>
    <t xml:space="preserve">– </t>
  </si>
  <si>
    <t>Equity affiliates</t>
  </si>
  <si>
    <t>Consolidated subsidiaries</t>
  </si>
  <si>
    <t>Proved undeveloped reserves</t>
  </si>
  <si>
    <t>Proved developed reserves</t>
  </si>
  <si>
    <t>Proved developed and undeveloped reserves</t>
  </si>
  <si>
    <t>As of December 31, 2017 – Brent at 54.36 $/b</t>
  </si>
  <si>
    <t>As of December 31, 2016 – Brent at 42.82 $/b</t>
  </si>
  <si>
    <t>As of December 31, 2015 – Brent at 54.17 $/b</t>
  </si>
  <si>
    <t>﻿As of December 31, 2014 – Brent at 101.27 $/b</t>
  </si>
  <si>
    <t>As of December 31, 2013 – Brent at 108.02 $/b</t>
  </si>
  <si>
    <t>﻿As of December 31, 2012 – Brent at 111.13 $/b</t>
  </si>
  <si>
    <t>Middle East &amp; North Africa</t>
  </si>
  <si>
    <t>Africa (excluding North Africa)</t>
  </si>
  <si>
    <t>Europe &amp; Central Asia (excl. Russia)</t>
  </si>
  <si>
    <t>Consolidated subsidiaries and equity affiliates</t>
  </si>
  <si>
    <t>(in million barrels of oil equivalent)</t>
  </si>
  <si>
    <t>Balance as of December 31, 2017 – Brent at 54.36 $/b</t>
  </si>
  <si>
    <t>Production for the year</t>
  </si>
  <si>
    <t>Sales of reserves in place</t>
  </si>
  <si>
    <t>Acquisitions of reserves in place</t>
  </si>
  <si>
    <t>Extensions, discoveries and other</t>
  </si>
  <si>
    <t>Revisions of previous estimates</t>
  </si>
  <si>
    <t>Balance as of December 31, 2016 – Brent at 42.82 $/b</t>
  </si>
  <si>
    <t>Balance as of December 31, 2015 – Brent at 54.17 $/b</t>
  </si>
  <si>
    <t xml:space="preserve">- </t>
  </si>
  <si>
    <t>Balance as of December 31, 2014 – Brent at 101.27 $/b</t>
  </si>
  <si>
    <t>Balance as of December 31, 2013 – Brent at 108.02 $/b</t>
  </si>
  <si>
    <t>﻿Balance as of December 31, 2012 – Brent at 111.13 $/b</t>
  </si>
  <si>
    <t>﻿Balance as of December 31, 2011 – Brent at 110.96 $/b</t>
  </si>
  <si>
    <t>December 31, 2017 – Brent at 54.36 $/b</t>
  </si>
  <si>
    <t>December 31, 2016 – Brent at 42.82 $/b</t>
  </si>
  <si>
    <t>December 31, 2015 – Brent at 54.17 $/b</t>
  </si>
  <si>
    <t>December 31, 2014 – Brent at 101.27 $/b</t>
  </si>
  <si>
    <t>December 31, 2013 – Brent at 108.02 $/b</t>
  </si>
  <si>
    <t>﻿December 31, 2012 – Brent at 111.13 $/b</t>
  </si>
  <si>
    <t>Minority interest in proved developed and undeveloped reserves as of</t>
  </si>
  <si>
    <t xml:space="preserve"> -</t>
  </si>
  <si>
    <t>﻿Balance as of December 31, 2014 – Brent at 101.27 $/b</t>
  </si>
  <si>
    <t>﻿Balance as of December 31, 2013 – Brent at 108.02 $/b</t>
  </si>
  <si>
    <t>Balance as of December 31, 2011 – Brent at 110.96 $/b</t>
  </si>
  <si>
    <t>(in million barrels of oil equivalent)</t>
  </si>
  <si>
    <t>The extensions in Russia correspond mainly to the booking of additional gas volumes in identified markets.</t>
  </si>
  <si>
    <t>– -21 Mboe due to economic factors related to a lower entitlement share as a result of higher yearly average hydrocarbon prices.</t>
  </si>
  <si>
    <t>– +77 Mboe mainly due to new information obtained from drilling and production history mainly in Qatar and Russia; and</t>
  </si>
  <si>
    <t>For equity affiliates, the revisions of +56 Mboe for the year 2017 were due to:</t>
  </si>
  <si>
    <t>The sales of reserves in place in the Americas correspond to the decrease in interest in Fort Hills (Canada).</t>
  </si>
  <si>
    <t>The extensions in the Americas correspond mainly to recognition of reserves in Brazil.</t>
  </si>
  <si>
    <t>– -26 Mboe due to other revisions.</t>
  </si>
  <si>
    <t>– +299 Mboe due to new information obtained from drilling and production history mainly in the United Kingdom, United Arab Emirates, Nigeria and Norway;</t>
  </si>
  <si>
    <t>For consolidated subsidiaries, the revisions of +519 Mboe for the year 2017 were due to:</t>
  </si>
  <si>
    <t>Significant changes in proved reserves between 2016 and 2017 are discussed below.</t>
  </si>
  <si>
    <t>TOTAL’s worldwide proved reserves include the proved reserves of its consolidated subsidiaries as well as its proportionate share of the proved reserves of equity affiliates.</t>
  </si>
  <si>
    <t>All references in the following tables to reserves or production are to the Group’s entire share of such reserves or production.</t>
  </si>
  <si>
    <t>The definitions used for proved, proved developed and proved undeveloped oil and gas reserves are in accordance with the revised Rule 4-10 of SEC Regulation S-X.</t>
  </si>
  <si>
    <t>Quantities shown concern proved developed and undeveloped reserves together with changes in quantities for 2017, 2016, 2015, 2014, 2013 and 2012.</t>
  </si>
  <si>
    <t>﻿The following tables present, for oil, bitumen and gas reserves, an estimate of the Group’s oil, bitumen and gas quantities by geographic areas as of December 31, 2017, 2016,  2015, 2014, 2013, 2012 and 2011.</t>
  </si>
  <si>
    <t>Consolidated subsidaries and equity affiliates</t>
  </si>
  <si>
    <t>(in millions of barrels of oil equivalent)</t>
  </si>
  <si>
    <t>(in millions of barrels)</t>
  </si>
  <si>
    <r>
      <rPr>
        <sz val="10"/>
        <color theme="1"/>
        <rFont val="Krungthep"/>
        <family val="2"/>
      </rPr>
      <t>﻿</t>
    </r>
    <r>
      <rPr>
        <sz val="10"/>
        <color theme="1"/>
        <rFont val="Arial"/>
        <family val="2"/>
      </rPr>
      <t>Oil reserves include crude oil, condensates and natural gas liquids reserves.</t>
    </r>
  </si>
  <si>
    <r>
      <rPr>
        <sz val="8"/>
        <color theme="1"/>
        <rFont val="Arial"/>
        <family val="2"/>
      </rPr>
      <t>There are no minority interests for bitumen reserves.</t>
    </r>
  </si>
  <si>
    <r>
      <rPr>
        <sz val="8"/>
        <color theme="1"/>
        <rFont val="Arial"/>
        <family val="2"/>
      </rPr>
      <t>There are no bitumen reserves for equity affiliates.</t>
    </r>
  </si>
  <si>
    <t>Proved undeveloped reserves as of</t>
  </si>
  <si>
    <t>Proved developed reserves as of</t>
  </si>
  <si>
    <t>Balance as of December 31, 2012 – Brent at 111.13 $/b</t>
  </si>
  <si>
    <t>(in million barrels)</t>
  </si>
  <si>
    <t>(in billion of cubic feet)</t>
  </si>
  <si>
    <t>Balance as of December 31, 2013 – Brent at 108,02 $/b</t>
  </si>
  <si>
    <t>(in billions of cubic feet)</t>
  </si>
  <si>
    <t>(in billion cubic feet)</t>
  </si>
  <si>
    <t xml:space="preserve">
</t>
  </si>
  <si>
    <t>Results of oil and gas producing activities</t>
  </si>
  <si>
    <t>Income tax</t>
  </si>
  <si>
    <t>Pre-tax income from producing activities</t>
  </si>
  <si>
    <t>Other expenses</t>
  </si>
  <si>
    <t>Depreciation, depletion and amortization and valuation allowances</t>
  </si>
  <si>
    <t>Exploration expenses</t>
  </si>
  <si>
    <t>Production costs</t>
  </si>
  <si>
    <t>Total Revenues</t>
  </si>
  <si>
    <t>Revenues Group sales</t>
  </si>
  <si>
    <t>Revenues Non-Group sales</t>
  </si>
  <si>
    <t>﻿2012</t>
  </si>
  <si>
    <t>Europe &amp; Central Asia</t>
  </si>
  <si>
    <t>Group’s share of results of oil and gas producing activities</t>
  </si>
  <si>
    <t>(7) Including adjustment items applicable to ASC 932 perimeter, amounting to a net charge of $ 3,712 million before tax and $3,305 million after tax, essentially related to asset impairments.</t>
  </si>
  <si>
    <t>(6) Including adjustment items applicable to ASC 932 perimeter, amounting to a net charge of $1,943 million before tax and $1,198 million after tax, mainly related to asset impairments.</t>
  </si>
  <si>
    <t>(5) Including adjustment items applicable to ASC 932 perimeter, amounting to a net charge of $7,104 million before tax and $5,039 million after tax, mainly related to asset impairments.</t>
  </si>
  <si>
    <t>(4) Including adjustment items applicable to ASC 932 perimeter, amounting to a net charge of $6,532 million before tax and $5,364 million after tax, mainly related to asset impairments.</t>
  </si>
  <si>
    <t>(3) Including adjustment items applicable to ASC 932 perimeter, amounting to a net charge of $902 million before tax and $639 million after tax, mainly related to asset impairments.</t>
  </si>
  <si>
    <t>(2) Including adjustment items applicable to ASC 932 perimeter, amounting to a net charge of $2,290 million before tax and $1,476 million after tax, mainly related to asset impairments.</t>
  </si>
  <si>
    <t>﻿(1) Included production taxes and accretion expense as provided by IAS 37 ($502 million in 2012, $566 million in 2013, $526 million in 2014, $497 million in 2015, $507 million in 2016 and $525 million in 2017).</t>
  </si>
  <si>
    <r>
      <t>Results of oil and gas producing activities</t>
    </r>
    <r>
      <rPr>
        <b/>
        <vertAlign val="superscript"/>
        <sz val="9"/>
        <color rgb="FF542C73"/>
        <rFont val="Arial"/>
        <family val="2"/>
      </rPr>
      <t>(7)</t>
    </r>
  </si>
  <si>
    <r>
      <t>Pre-tax income from producing activities</t>
    </r>
    <r>
      <rPr>
        <b/>
        <vertAlign val="superscript"/>
        <sz val="9"/>
        <color rgb="FF542C73"/>
        <rFont val="Arial"/>
        <family val="2"/>
      </rPr>
      <t>(7)</t>
    </r>
  </si>
  <si>
    <r>
      <t>Other expenses</t>
    </r>
    <r>
      <rPr>
        <vertAlign val="superscript"/>
        <sz val="9"/>
        <rFont val="Arial"/>
        <family val="2"/>
      </rPr>
      <t>(1)</t>
    </r>
  </si>
  <si>
    <r>
      <t>Results of oil and gas producing activities</t>
    </r>
    <r>
      <rPr>
        <b/>
        <vertAlign val="superscript"/>
        <sz val="9"/>
        <color rgb="FF542C73"/>
        <rFont val="Arial"/>
        <family val="2"/>
      </rPr>
      <t>(6)</t>
    </r>
  </si>
  <si>
    <r>
      <t>Pre-tax income from producing activities</t>
    </r>
    <r>
      <rPr>
        <b/>
        <vertAlign val="superscript"/>
        <sz val="9"/>
        <color rgb="FF542C73"/>
        <rFont val="Arial"/>
        <family val="2"/>
      </rPr>
      <t>(6)</t>
    </r>
  </si>
  <si>
    <r>
      <t>Results of oil and gas producing activities</t>
    </r>
    <r>
      <rPr>
        <b/>
        <vertAlign val="superscript"/>
        <sz val="9"/>
        <rFont val="Arial"/>
        <family val="2"/>
      </rPr>
      <t>(5)</t>
    </r>
  </si>
  <si>
    <r>
      <t>Pre-tax income from producing activities</t>
    </r>
    <r>
      <rPr>
        <b/>
        <vertAlign val="superscript"/>
        <sz val="9"/>
        <rFont val="Arial"/>
        <family val="2"/>
      </rPr>
      <t>(5)</t>
    </r>
  </si>
  <si>
    <t>﻿Revenues Non-Group sales</t>
  </si>
  <si>
    <r>
      <t>Results of oil and gas producing activities</t>
    </r>
    <r>
      <rPr>
        <b/>
        <vertAlign val="superscript"/>
        <sz val="9"/>
        <rFont val="Arial"/>
        <family val="2"/>
      </rPr>
      <t>(4)</t>
    </r>
  </si>
  <si>
    <r>
      <t>Pre-tax income from producing activities</t>
    </r>
    <r>
      <rPr>
        <b/>
        <vertAlign val="superscript"/>
        <sz val="9"/>
        <rFont val="Arial"/>
        <family val="2"/>
      </rPr>
      <t>(4)</t>
    </r>
  </si>
  <si>
    <t>﻿2014</t>
  </si>
  <si>
    <r>
      <t>Results of oil and gas producing activities</t>
    </r>
    <r>
      <rPr>
        <b/>
        <vertAlign val="superscript"/>
        <sz val="9"/>
        <rFont val="Arial"/>
        <family val="2"/>
      </rPr>
      <t>(3)</t>
    </r>
  </si>
  <si>
    <r>
      <t>Pre-tax income from producing activities</t>
    </r>
    <r>
      <rPr>
        <b/>
        <vertAlign val="superscript"/>
        <sz val="9"/>
        <rFont val="Arial"/>
        <family val="2"/>
      </rPr>
      <t>(3)</t>
    </r>
  </si>
  <si>
    <r>
      <t>Results of oil and gas producing activities</t>
    </r>
    <r>
      <rPr>
        <b/>
        <vertAlign val="superscript"/>
        <sz val="9"/>
        <rFont val="Arial"/>
        <family val="2"/>
      </rPr>
      <t>(2)</t>
    </r>
  </si>
  <si>
    <r>
      <t>Pre-tax income from producing activities</t>
    </r>
    <r>
      <rPr>
        <b/>
        <vertAlign val="superscript"/>
        <sz val="9"/>
        <rFont val="Arial"/>
        <family val="2"/>
      </rPr>
      <t>(2)</t>
    </r>
  </si>
  <si>
    <r>
      <rPr>
        <sz val="10"/>
        <color theme="1"/>
        <rFont val="Krungthep"/>
        <family val="2"/>
      </rPr>
      <t>﻿</t>
    </r>
    <r>
      <rPr>
        <sz val="10"/>
        <color theme="1"/>
        <rFont val="Arial"/>
        <family val="2"/>
      </rPr>
      <t>The following tables do not include revenues and expenses related to oil and gas transportation activities and LNG liquefaction and transportation.</t>
    </r>
  </si>
  <si>
    <r>
      <rPr>
        <sz val="8"/>
        <color theme="1"/>
        <rFont val="Arial"/>
        <family val="2"/>
      </rPr>
      <t>(1) Including asset retirement costs capitalized during the year and any gains or losses recognized upon settlement of asset retirement obligation during the year.</t>
    </r>
  </si>
  <si>
    <t>Total cost incurred</t>
  </si>
  <si>
    <r>
      <t>Development costs</t>
    </r>
    <r>
      <rPr>
        <vertAlign val="superscript"/>
        <sz val="9"/>
        <rFont val="Arial"/>
        <family val="2"/>
      </rPr>
      <t>(1)</t>
    </r>
  </si>
  <si>
    <t>Unproved property acquisition</t>
  </si>
  <si>
    <t>Proved property acquisition</t>
  </si>
  <si>
    <t xml:space="preserve">Group's share of costs of property acquisition 
exploration and development </t>
  </si>
  <si>
    <t>﻿Proved property acquisition</t>
  </si>
  <si>
    <r>
      <rPr>
        <sz val="10"/>
        <color theme="1"/>
        <rFont val="Krungthep"/>
        <family val="2"/>
      </rPr>
      <t>﻿</t>
    </r>
    <r>
      <rPr>
        <sz val="10"/>
        <color theme="1"/>
        <rFont val="Arial"/>
        <family val="2"/>
      </rPr>
      <t>They do not include costs incurred related to oil and gas transportation and LNG liquefaction and transportation activities.</t>
    </r>
  </si>
  <si>
    <r>
      <rPr>
        <sz val="10"/>
        <color theme="1"/>
        <rFont val="Krungthep"/>
        <family val="2"/>
      </rPr>
      <t>﻿</t>
    </r>
    <r>
      <rPr>
        <sz val="10"/>
        <color theme="1"/>
        <rFont val="Arial"/>
        <family val="2"/>
      </rPr>
      <t>The following tables set forth the costs incurred in the Group’s oil and gas property acquisition, exploration and development activities, including both capitalized and expensed amounts.</t>
    </r>
  </si>
  <si>
    <t>COST INCURRED</t>
  </si>
  <si>
    <t>Net capitalized costs</t>
  </si>
  <si>
    <t>Accumulated depreciation, depletion and amortization</t>
  </si>
  <si>
    <t>Total capitalized costs</t>
  </si>
  <si>
    <t>﻿As of December 31, 2012</t>
  </si>
  <si>
    <t xml:space="preserve">Group's share of net capitalized costs </t>
  </si>
  <si>
    <t>﻿Proved properties</t>
  </si>
  <si>
    <t>As of December 31, 2012</t>
  </si>
  <si>
    <r>
      <rPr>
        <sz val="10"/>
        <color theme="1"/>
        <rFont val="Krungthep"/>
        <family val="2"/>
      </rPr>
      <t>﻿</t>
    </r>
    <r>
      <rPr>
        <sz val="10"/>
        <color theme="1"/>
        <rFont val="Arial"/>
        <family val="2"/>
      </rPr>
      <t xml:space="preserve"> The following tables do not include capitalized costs related to oil and gas transportation and LNG liquefaction and transportation activities.</t>
    </r>
  </si>
  <si>
    <r>
      <rPr>
        <sz val="10"/>
        <color theme="1"/>
        <rFont val="Krungthep"/>
        <family val="2"/>
      </rPr>
      <t>﻿</t>
    </r>
    <r>
      <rPr>
        <sz val="10"/>
        <color theme="1"/>
        <rFont val="Arial"/>
        <family val="2"/>
      </rPr>
      <t>Capitalized costs represent the amount of capitalized proved and unproved property costs, including support equipment and facilities, along with the related accumulated depreciation, depletion and amortization.</t>
    </r>
  </si>
  <si>
    <t>Standardized measure of discounted future net cash flows</t>
  </si>
  <si>
    <t>Discount at 10%</t>
  </si>
  <si>
    <t>Future net cash flows, after income taxes</t>
  </si>
  <si>
    <t>Future income taxes</t>
  </si>
  <si>
    <t>Future development costs</t>
  </si>
  <si>
    <t>Future production costs</t>
  </si>
  <si>
    <t>Future cash inflows</t>
  </si>
  <si>
    <t>December 31, 2017</t>
  </si>
  <si>
    <t>December 31, 2016</t>
  </si>
  <si>
    <t>December 31, 2015</t>
  </si>
  <si>
    <t>December 31, 2014</t>
  </si>
  <si>
    <t>December 31, 2013</t>
  </si>
  <si>
    <t>﻿December 31, 2012</t>
  </si>
  <si>
    <t xml:space="preserve">Group’s share of equity affiliates’ future net 
cash flows as of </t>
  </si>
  <si>
    <t>Minority interests in future net cash flows as of</t>
  </si>
  <si>
    <t>﻿As of December 31, 2015</t>
  </si>
  <si>
    <t>An estimate of the fair value of reserves should also take into account, among other things, the recovery of reserves not presently classified as proved, anticipated future changes in prices and costs and a discount factor more representative of the time value of money and the risks inherent in reserve estimates.</t>
  </si>
  <si>
    <t>﻿These principles applied are those required by ASC 932 and do not reflect the expectations of real revenues from these reserves, nor their present value; hence, they do not constitute criteria for investment decisions.</t>
  </si>
  <si>
    <t>5. future net cash flows are discounted at a standard discount rate of 10 percent.</t>
  </si>
  <si>
    <t>4. future income taxes are computed by applying the year-end statutory tax rate to future net cash flows after consideration of permanent differences and future income tax credits; and</t>
  </si>
  <si>
    <t>3. the future cash flows incorporate estimated production costs (including production taxes), future development costs and asset retirement costs. All cost estimates are based on year-end technical and economic conditions;</t>
  </si>
  <si>
    <t>2. the estimated future cash flows are determined based on prices used in estimating the Group’s proved oil and gas reserves;</t>
  </si>
  <si>
    <t>﻿1. estimates of proved reserves and the corresponding production profiles are based on current technical and economic conditions;</t>
  </si>
  <si>
    <t>﻿The standardized measure of discounted future net cash flows relating to proved oil and gas reserve quantities was developed as follows:</t>
  </si>
  <si>
    <t>End of year</t>
  </si>
  <si>
    <t>Purchases of reserves in place</t>
  </si>
  <si>
    <t>Net change in income taxes</t>
  </si>
  <si>
    <t>Accretion of discount</t>
  </si>
  <si>
    <t>Revisions of previous quantity estimates</t>
  </si>
  <si>
    <t>Previously estimated development costs incurred during the year</t>
  </si>
  <si>
    <t>Changes in estimated future development costs</t>
  </si>
  <si>
    <t>Extensions, discoveries and improved recovery</t>
  </si>
  <si>
    <t>Net change in sales and transfer prices and in production costs and other expenses</t>
  </si>
  <si>
    <t>Sales and transfers, net of production costs</t>
  </si>
  <si>
    <t>﻿Beginning of year</t>
  </si>
  <si>
    <t xml:space="preserve">(2) Net acreage equals the sum of the Group’s equity stakes in gross acreage.
</t>
  </si>
  <si>
    <r>
      <rPr>
        <sz val="8"/>
        <color theme="1"/>
        <rFont val="Arial"/>
        <family val="2"/>
      </rPr>
      <t>(1) Undeveloped acreage includes leases and concessions.</t>
    </r>
  </si>
  <si>
    <r>
      <t>Net</t>
    </r>
    <r>
      <rPr>
        <b/>
        <vertAlign val="superscript"/>
        <sz val="9"/>
        <color rgb="FF542C73"/>
        <rFont val="Arial"/>
        <family val="2"/>
      </rPr>
      <t>(2)</t>
    </r>
  </si>
  <si>
    <t>Gross</t>
  </si>
  <si>
    <t>Net</t>
  </si>
  <si>
    <t>Middle East &amp; North Africa</t>
  </si>
  <si>
    <t>﻿Europe &amp; Central Asia</t>
  </si>
  <si>
    <t>Developed
acreage</t>
  </si>
  <si>
    <r>
      <t>Undeveloped acreage</t>
    </r>
    <r>
      <rPr>
        <b/>
        <vertAlign val="superscript"/>
        <sz val="10"/>
        <color rgb="FF542C73"/>
        <rFont val="Arial"/>
        <family val="2"/>
      </rPr>
      <t>(1)</t>
    </r>
  </si>
  <si>
    <t>(in thousands of acres)</t>
  </si>
  <si>
    <t>As of December 31,</t>
  </si>
  <si>
    <r>
      <rPr>
        <sz val="8"/>
        <color theme="1"/>
        <rFont val="Krungthep"/>
        <family val="2"/>
      </rPr>
      <t>﻿</t>
    </r>
    <r>
      <rPr>
        <sz val="8"/>
        <color theme="1"/>
        <rFont val="Arial"/>
        <family val="2"/>
      </rPr>
      <t>(1) Net wells equal the sum of the Group’s equity stakes in gross wells.</t>
    </r>
  </si>
  <si>
    <t>Gas</t>
  </si>
  <si>
    <t>Oil</t>
  </si>
  <si>
    <r>
      <t>Net 
productive 
wells</t>
    </r>
    <r>
      <rPr>
        <b/>
        <vertAlign val="superscript"/>
        <sz val="10"/>
        <color rgb="FF542C73"/>
        <rFont val="Arial"/>
        <family val="2"/>
      </rPr>
      <t>(1)</t>
    </r>
  </si>
  <si>
    <t>Gross 
productive 
wells</t>
  </si>
  <si>
    <t>(number of wells)</t>
  </si>
  <si>
    <t>(3) For information: service wells and stratigraphic wells are not reported in this table.</t>
  </si>
  <si>
    <r>
      <rPr>
        <sz val="8"/>
        <color theme="1"/>
        <rFont val="Arial"/>
        <family val="2"/>
      </rPr>
      <t>(2) Includes certain exploratory wells that were abandoned but which would have been capable of producing oil in sufficient quantities to justify completion.</t>
    </r>
  </si>
  <si>
    <r>
      <rPr>
        <sz val="8"/>
        <color theme="1"/>
        <rFont val="Arial"/>
        <family val="2"/>
      </rPr>
      <t xml:space="preserve">(1) Net wells equal the sum of the Company’s fractional interest in gross wells.
</t>
    </r>
  </si>
  <si>
    <t>Subtotal</t>
  </si>
  <si>
    <t>Development</t>
  </si>
  <si>
    <t>Exploratory</t>
  </si>
  <si>
    <r>
      <t>Net total
wells drilled</t>
    </r>
    <r>
      <rPr>
        <b/>
        <vertAlign val="superscript"/>
        <sz val="10"/>
        <color rgb="FF542C73"/>
        <rFont val="Arial"/>
        <family val="2"/>
      </rPr>
      <t>(1)(3)</t>
    </r>
  </si>
  <si>
    <r>
      <t>Net dry
wells drilled</t>
    </r>
    <r>
      <rPr>
        <b/>
        <vertAlign val="superscript"/>
        <sz val="10"/>
        <color rgb="FF542C73"/>
        <rFont val="Arial"/>
        <family val="2"/>
      </rPr>
      <t>(1)(3)</t>
    </r>
  </si>
  <si>
    <r>
      <t>Net productive
wells drilled</t>
    </r>
    <r>
      <rPr>
        <b/>
        <vertAlign val="superscript"/>
        <sz val="10"/>
        <color rgb="FF542C73"/>
        <rFont val="Arial"/>
        <family val="2"/>
      </rPr>
      <t>(1)(2)</t>
    </r>
  </si>
  <si>
    <r>
      <rPr>
        <sz val="8"/>
        <color theme="1"/>
        <rFont val="Arial"/>
        <family val="2"/>
      </rPr>
      <t>(2) Other wells are development wells, service wells, stratigraphic wells and extension wells.</t>
    </r>
  </si>
  <si>
    <t xml:space="preserve">(1) Net wells equal the sum of the Group’s equity stakes in gross wells. From 2013, includes wells for which surface facilities permitting production have not yet been constructed. Such wells are also reported in the table “Number of net productive and dry wells drilled”, for the year in which they were drilled.
</t>
  </si>
  <si>
    <r>
      <t xml:space="preserve">
Other wells</t>
    </r>
    <r>
      <rPr>
        <b/>
        <vertAlign val="superscript"/>
        <sz val="9"/>
        <rFont val="Arial"/>
        <family val="2"/>
      </rPr>
      <t>(2)</t>
    </r>
  </si>
  <si>
    <r>
      <t>Net</t>
    </r>
    <r>
      <rPr>
        <b/>
        <vertAlign val="superscript"/>
        <sz val="10"/>
        <color rgb="FF542C73"/>
        <rFont val="Arial"/>
        <family val="2"/>
      </rPr>
      <t>(1)</t>
    </r>
  </si>
  <si>
    <t>292.8</t>
  </si>
  <si>
    <t>281.5</t>
  </si>
  <si>
    <t>201.5</t>
  </si>
  <si>
    <t>18.5</t>
  </si>
  <si>
    <t>27.5</t>
  </si>
  <si>
    <t>13.6</t>
  </si>
  <si>
    <t>15.2</t>
  </si>
  <si>
    <t>5.2</t>
  </si>
  <si>
    <r>
      <t>Other wells</t>
    </r>
    <r>
      <rPr>
        <b/>
        <vertAlign val="superscript"/>
        <sz val="9"/>
        <rFont val="Arial"/>
        <family val="2"/>
      </rPr>
      <t> (2)</t>
    </r>
  </si>
  <si>
    <t>11.3</t>
  </si>
  <si>
    <t>1.9</t>
  </si>
  <si>
    <t>2.8</t>
  </si>
  <si>
    <t>4.7</t>
  </si>
  <si>
    <t>WELLS IN THE PROCESS OF BEING DRILLED (INCLUDING WELLS TEMPORARILY SUSPENDED)</t>
  </si>
  <si>
    <t>(2) Interest of Total Gabon. The Group has a financial interest of 58.28% in Total Gabon.</t>
  </si>
  <si>
    <t>(1) Excluding equity affiliates, except for the Yadana and Dolphin pipelines.</t>
  </si>
  <si>
    <t>x</t>
  </si>
  <si>
    <t>31.24</t>
  </si>
  <si>
    <t>Ban-I Tong (Thai border)</t>
  </si>
  <si>
    <t>Yadana field</t>
  </si>
  <si>
    <t>Yadana</t>
  </si>
  <si>
    <t>27.50</t>
  </si>
  <si>
    <t>GLNG (Curtis Island)</t>
  </si>
  <si>
    <t>Fairview, Roma, Scotia, Arcadia</t>
  </si>
  <si>
    <t>Gladstone LNG</t>
  </si>
  <si>
    <t>Asia-Pacific</t>
  </si>
  <si>
    <t>25.00</t>
  </si>
  <si>
    <t>Uruguyana (Brazil) Canoas</t>
  </si>
  <si>
    <t>Argentina-Brazil border (TGM) Porto Alegre</t>
  </si>
  <si>
    <t>TSB</t>
  </si>
  <si>
    <t>9.67</t>
  </si>
  <si>
    <t>Porto Alegre via São Paulo</t>
  </si>
  <si>
    <t>Bolivia-Brazil border</t>
  </si>
  <si>
    <t>TBG</t>
  </si>
  <si>
    <t>32.68</t>
  </si>
  <si>
    <t>Uruguyana (Brazil)</t>
  </si>
  <si>
    <t>TGN</t>
  </si>
  <si>
    <t>TGM</t>
  </si>
  <si>
    <t>24.50</t>
  </si>
  <si>
    <t>Taweelah-Fujairah-Al Ain (United Arab Emirates)</t>
  </si>
  <si>
    <t>North Field (Qatar)</t>
  </si>
  <si>
    <t>Dolphin</t>
  </si>
  <si>
    <t>40.00</t>
  </si>
  <si>
    <t>Owaza</t>
  </si>
  <si>
    <t>Rumuji</t>
  </si>
  <si>
    <t>NOPL</t>
  </si>
  <si>
    <t>Obite</t>
  </si>
  <si>
    <t>O.U.R</t>
  </si>
  <si>
    <r>
      <t>100.00 </t>
    </r>
    <r>
      <rPr>
        <vertAlign val="superscript"/>
        <sz val="9"/>
        <rFont val="Arial"/>
        <family val="2"/>
      </rPr>
      <t>(2)</t>
    </r>
  </si>
  <si>
    <t>Cap Lopez Terminal</t>
  </si>
  <si>
    <t>Mandji fields</t>
  </si>
  <si>
    <t>Mandji Pipes</t>
  </si>
  <si>
    <t>54.66</t>
  </si>
  <si>
    <t>Interconnector</t>
  </si>
  <si>
    <t>Bacton</t>
  </si>
  <si>
    <t>SEAL to Interconnector Link (SILK)</t>
  </si>
  <si>
    <t>25.73</t>
  </si>
  <si>
    <t>Elgin-Franklin, Shearwater</t>
  </si>
  <si>
    <t>Shearwater Elgin Area Line (SEAL)</t>
  </si>
  <si>
    <t>16.00</t>
  </si>
  <si>
    <t>Sullom Voe</t>
  </si>
  <si>
    <t>Ninian</t>
  </si>
  <si>
    <t>Ninian Pipeline System</t>
  </si>
  <si>
    <t>15.89</t>
  </si>
  <si>
    <t>ETAP</t>
  </si>
  <si>
    <t>Elgin-Franklin</t>
  </si>
  <si>
    <t>Central Graben Liquid Export Line (LEP)</t>
  </si>
  <si>
    <t>43.25</t>
  </si>
  <si>
    <t>Forties (Unity)</t>
  </si>
  <si>
    <t>Bruce</t>
  </si>
  <si>
    <t>Bruce Liquid Export Line</t>
  </si>
  <si>
    <t>100.00</t>
  </si>
  <si>
    <t>Cormorant</t>
  </si>
  <si>
    <t>Alwyn North</t>
  </si>
  <si>
    <t>Alwyn Liquid Export Line</t>
  </si>
  <si>
    <t>23;00</t>
  </si>
  <si>
    <t>K13 (via K4⁠/⁠K5)</t>
  </si>
  <si>
    <t>Markham</t>
  </si>
  <si>
    <t>WGT K13-Extension</t>
  </si>
  <si>
    <t>4.66</t>
  </si>
  <si>
    <t>Den Helder</t>
  </si>
  <si>
    <t>K13A</t>
  </si>
  <si>
    <t>WGT K13-Den Helder</t>
  </si>
  <si>
    <t>5.00</t>
  </si>
  <si>
    <t>F3-FB</t>
  </si>
  <si>
    <t>Nogat pipeline</t>
  </si>
  <si>
    <t>The Netherlands</t>
  </si>
  <si>
    <t>5.11</t>
  </si>
  <si>
    <t>Nyhamna</t>
  </si>
  <si>
    <t>Asta Hansteen⁠/⁠Linnorm</t>
  </si>
  <si>
    <t>Polarled</t>
  </si>
  <si>
    <t>Vestprocess (Mongstad Refinery)</t>
  </si>
  <si>
    <t>Kollsnes (Area E)</t>
  </si>
  <si>
    <t>Vestprosess</t>
  </si>
  <si>
    <t>3.71</t>
  </si>
  <si>
    <t>Vestprosess (Mongstad Refinery)</t>
  </si>
  <si>
    <t>Troll B and C</t>
  </si>
  <si>
    <t>Troll Oil Pipeline I and II</t>
  </si>
  <si>
    <t>12.98</t>
  </si>
  <si>
    <t>Sture</t>
  </si>
  <si>
    <t>Oseberg, Brage and Veslefrikk</t>
  </si>
  <si>
    <t>Oseberg Transport System</t>
  </si>
  <si>
    <t>34.93</t>
  </si>
  <si>
    <t>Teeside (UK)</t>
  </si>
  <si>
    <t>Ekofisk Treatment center</t>
  </si>
  <si>
    <t>Norpipe Oil</t>
  </si>
  <si>
    <t>Mongstad</t>
  </si>
  <si>
    <t>Kvitebjorn</t>
  </si>
  <si>
    <t>Kvitebjorn pipeline</t>
  </si>
  <si>
    <t>16.76</t>
  </si>
  <si>
    <t>Brae</t>
  </si>
  <si>
    <t>Heimdal</t>
  </si>
  <si>
    <t>Heimdal to Brae Condensate Line</t>
  </si>
  <si>
    <t>36.25</t>
  </si>
  <si>
    <t>Oseberg</t>
  </si>
  <si>
    <t>Lille-Frigg, Froy</t>
  </si>
  <si>
    <t>Frostpipe (inhibited)</t>
  </si>
  <si>
    <t>Ceyhan (Turkey, Mediterranean)</t>
  </si>
  <si>
    <t>Baku (Azerbaijan)</t>
  </si>
  <si>
    <t>BTC</t>
  </si>
  <si>
    <t>Liquids</t>
  </si>
  <si>
    <t>Operator</t>
  </si>
  <si>
    <t>% interest</t>
  </si>
  <si>
    <t>Destination</t>
  </si>
  <si>
    <t>Origin</t>
  </si>
  <si>
    <t>Pipeline(s)</t>
  </si>
  <si>
    <r>
      <t>The table below sets forth interests of the Group’s entiti</t>
    </r>
    <r>
      <rPr>
        <sz val="9"/>
        <rFont val="Calibri"/>
        <family val="2"/>
        <scheme val="minor"/>
      </rPr>
      <t>es</t>
    </r>
    <r>
      <rPr>
        <vertAlign val="superscript"/>
        <sz val="9"/>
        <rFont val="Calibri"/>
        <family val="2"/>
        <scheme val="minor"/>
      </rPr>
      <t>(1)</t>
    </r>
    <r>
      <rPr>
        <sz val="9"/>
        <rFont val="Calibri"/>
        <family val="2"/>
        <scheme val="minor"/>
      </rPr>
      <t xml:space="preserve"> </t>
    </r>
    <r>
      <rPr>
        <sz val="9"/>
        <color theme="1"/>
        <rFont val="Calibri"/>
        <family val="2"/>
        <scheme val="minor"/>
      </rPr>
      <t>in</t>
    </r>
    <r>
      <rPr>
        <sz val="9"/>
        <rFont val="Calibri"/>
        <family val="2"/>
        <scheme val="minor"/>
      </rPr>
      <t xml:space="preserve"> the</t>
    </r>
    <r>
      <rPr>
        <sz val="9"/>
        <color rgb="FFFF0000"/>
        <rFont val="Calibri"/>
        <family val="2"/>
        <scheme val="minor"/>
      </rPr>
      <t xml:space="preserve"> </t>
    </r>
    <r>
      <rPr>
        <sz val="9"/>
        <rFont val="Calibri"/>
        <family val="2"/>
        <scheme val="minor"/>
      </rPr>
      <t>main oil</t>
    </r>
    <r>
      <rPr>
        <sz val="9"/>
        <color theme="1"/>
        <rFont val="Calibri"/>
        <family val="2"/>
        <scheme val="minor"/>
      </rPr>
      <t xml:space="preserve"> and gas pipelines.</t>
    </r>
  </si>
  <si>
    <t>(1) Part of Refining &amp; Chemicals.</t>
  </si>
  <si>
    <t>In operation</t>
  </si>
  <si>
    <r>
      <t xml:space="preserve">Normandie refinery co-generation </t>
    </r>
    <r>
      <rPr>
        <b/>
        <vertAlign val="superscript"/>
        <sz val="9"/>
        <rFont val="Arial"/>
        <family val="2"/>
      </rPr>
      <t>(1)</t>
    </r>
  </si>
  <si>
    <t>Mainly solar</t>
  </si>
  <si>
    <t xml:space="preserve">Other renewables incl. TOTAL Solar </t>
  </si>
  <si>
    <t>Mainly solar and wind</t>
  </si>
  <si>
    <t xml:space="preserve">EREN </t>
  </si>
  <si>
    <t>Solar</t>
  </si>
  <si>
    <t xml:space="preserve">SunPower </t>
  </si>
  <si>
    <t>Taweelah A1 (Abu Dhabi)</t>
  </si>
  <si>
    <t>Energy source</t>
  </si>
  <si>
    <r>
      <t xml:space="preserve">Net capacity </t>
    </r>
    <r>
      <rPr>
        <b/>
        <sz val="8"/>
        <color rgb="FF542C73"/>
        <rFont val="Arial"/>
        <family val="2"/>
      </rPr>
      <t>(MWc)</t>
    </r>
  </si>
  <si>
    <r>
      <t xml:space="preserve">Gross capacity </t>
    </r>
    <r>
      <rPr>
        <b/>
        <sz val="8"/>
        <color rgb="FF542C73"/>
        <rFont val="Arial"/>
        <family val="2"/>
      </rPr>
      <t>(MWc)</t>
    </r>
  </si>
  <si>
    <t>Status</t>
  </si>
  <si>
    <t>INSTALLED POWER GENERATION CAPACITIES AS OF 31/12/2017</t>
  </si>
  <si>
    <t>(4) Including Total's equity in Novatek</t>
  </si>
  <si>
    <r>
      <rPr>
        <sz val="8"/>
        <color indexed="8"/>
        <rFont val="Krungthep"/>
        <family val="2"/>
      </rPr>
      <t>﻿</t>
    </r>
    <r>
      <rPr>
        <sz val="8"/>
        <color indexed="8"/>
        <rFont val="Arial"/>
        <family val="2"/>
      </rPr>
      <t>(3) Includes both Oman LNG &amp; Qalhat LNG.</t>
    </r>
  </si>
  <si>
    <t>(2) 2017 data restated to reflect volume estimates for Bontang LNG based on the 2016 SEC coefficient</t>
  </si>
  <si>
    <r>
      <rPr>
        <sz val="8"/>
        <color indexed="8"/>
        <rFont val="Krungthep"/>
        <family val="2"/>
      </rPr>
      <t>﻿</t>
    </r>
    <r>
      <rPr>
        <sz val="8"/>
        <color indexed="8"/>
        <rFont val="Arial"/>
        <family val="2"/>
      </rPr>
      <t xml:space="preserve">(1) Group share, excluding trading.
</t>
    </r>
  </si>
  <si>
    <t>Yemen LNG</t>
  </si>
  <si>
    <r>
      <t xml:space="preserve">Yamal LNG </t>
    </r>
    <r>
      <rPr>
        <vertAlign val="superscript"/>
        <sz val="9"/>
        <rFont val="Arial"/>
        <family val="2"/>
      </rPr>
      <t>(4)</t>
    </r>
  </si>
  <si>
    <t>Abu Dhabi (Adgas)</t>
  </si>
  <si>
    <r>
      <t>Oman</t>
    </r>
    <r>
      <rPr>
        <vertAlign val="superscript"/>
        <sz val="9"/>
        <rFont val="Arial"/>
        <family val="2"/>
      </rPr>
      <t>(3)</t>
    </r>
  </si>
  <si>
    <t>Angola LNG</t>
  </si>
  <si>
    <t>Norway (Snøhvit)</t>
  </si>
  <si>
    <t>Qatar (Qatargas I)</t>
  </si>
  <si>
    <t>Qatar (Qatargas II)</t>
  </si>
  <si>
    <r>
      <t>Indonesia (Bontang)</t>
    </r>
    <r>
      <rPr>
        <vertAlign val="superscript"/>
        <sz val="9"/>
        <rFont val="Arial"/>
        <family val="2"/>
      </rPr>
      <t>(2)</t>
    </r>
  </si>
  <si>
    <t>Nigeria (NLNG)</t>
  </si>
  <si>
    <t>(kt/y)</t>
  </si>
  <si>
    <r>
      <t>LIQUEFIED NATURAL GAS (LNG) SALES</t>
    </r>
    <r>
      <rPr>
        <b/>
        <vertAlign val="superscript"/>
        <sz val="12"/>
        <color indexed="53"/>
        <rFont val="Arial"/>
        <family val="2"/>
      </rPr>
      <t>(1)</t>
    </r>
  </si>
  <si>
    <r>
      <rPr>
        <sz val="8"/>
        <color theme="1"/>
        <rFont val="Krungthep"/>
        <family val="2"/>
      </rPr>
      <t>﻿</t>
    </r>
    <r>
      <rPr>
        <sz val="8"/>
        <color theme="1"/>
        <rFont val="Arial"/>
        <family val="2"/>
      </rPr>
      <t xml:space="preserve">(2) Domestic sales. </t>
    </r>
  </si>
  <si>
    <r>
      <rPr>
        <sz val="8"/>
        <color theme="1"/>
        <rFont val="Krungthep"/>
        <family val="2"/>
      </rPr>
      <t>﻿</t>
    </r>
    <r>
      <rPr>
        <sz val="8"/>
        <color theme="1"/>
        <rFont val="Arial"/>
        <family val="2"/>
      </rPr>
      <t>(1) Consolidated entities.</t>
    </r>
  </si>
  <si>
    <t>Trinidad &amp; Tobago</t>
  </si>
  <si>
    <r>
      <t>Indonesia</t>
    </r>
    <r>
      <rPr>
        <vertAlign val="superscript"/>
        <sz val="9"/>
        <rFont val="Arial"/>
        <family val="2"/>
      </rPr>
      <t> (2)</t>
    </r>
  </si>
  <si>
    <t>Syria</t>
  </si>
  <si>
    <t>(Mcf/d)</t>
  </si>
  <si>
    <r>
      <t>PIPELINE GAS SALES</t>
    </r>
    <r>
      <rPr>
        <b/>
        <vertAlign val="superscript"/>
        <sz val="12"/>
        <color rgb="FFFF6E23"/>
        <rFont val="Arial"/>
        <family val="2"/>
      </rPr>
      <t>(1)</t>
    </r>
  </si>
  <si>
    <t>(3) Condensates throughputs of BTP and HTC are included in refining throughputs and capacities as from 2015.</t>
  </si>
  <si>
    <t>(2) Capacity data based on crude distillation unit stream- day capacities under normal operating conditions, less the average of shutdown for regular repair and maintenance activities.</t>
  </si>
  <si>
    <t>(1) Including share of TotalErg (sold in 2018), as well as refineries in Africa and the French Antilles (sold in 2015) that are reported in the Marketing &amp; Services segment.</t>
  </si>
  <si>
    <t>Refinery throughput</t>
  </si>
  <si>
    <r>
      <t>Distillation capacity Group share at year-end</t>
    </r>
    <r>
      <rPr>
        <vertAlign val="superscript"/>
        <sz val="9"/>
        <rFont val="Arial"/>
        <family val="2"/>
      </rPr>
      <t>(2)(4)</t>
    </r>
  </si>
  <si>
    <t>(in kb/d)</t>
  </si>
  <si>
    <r>
      <t>OPERATIONAL HIGHLIGHTS</t>
    </r>
    <r>
      <rPr>
        <b/>
        <vertAlign val="superscript"/>
        <sz val="12"/>
        <color rgb="FFFF6E23"/>
        <rFont val="Arial"/>
        <family val="2"/>
      </rPr>
      <t>(1)(3)</t>
    </r>
  </si>
  <si>
    <r>
      <rPr>
        <sz val="8"/>
        <color theme="1"/>
        <rFont val="Arial"/>
        <family val="2"/>
      </rPr>
      <t>(4) Condensates Splitter held by the joint venture HTC (50% TOTAL, 50% Hanwha and HTC operator) and included in the refining capacities from 31th December 2015.</t>
    </r>
  </si>
  <si>
    <r>
      <rPr>
        <sz val="8"/>
        <color theme="1"/>
        <rFont val="Arial"/>
        <family val="2"/>
      </rPr>
      <t>(3) Condensates Splitter held by the joint venture BFLP (40% TOTAL, 60% BASF and TOTAL operator) and included in the refining capacities from 31th December 2015.</t>
    </r>
  </si>
  <si>
    <t>(2) In October 2010, TOTAL Italy merged with Erg to create the new company TotalErg – TOTAL holds 49% of TotalErg.  Total sold its stake in Total Erg in 2018.</t>
  </si>
  <si>
    <r>
      <rPr>
        <sz val="8"/>
        <color theme="1"/>
        <rFont val="Arial"/>
        <family val="2"/>
      </rPr>
      <t>(1) Cat Crack: Catalytic Cracking; Cat Reform: Catalytic Reforming; Resid Hydrotreat: Residual Hydrotreating; Dist Hydrotreat: Distillate Hydrotreating; Alky: Alkylation; Isom: C5</t>
    </r>
    <r>
      <rPr>
        <sz val="8"/>
        <color theme="1"/>
        <rFont val="Monaco"/>
        <family val="2"/>
      </rPr>
      <t>⁠</t>
    </r>
    <r>
      <rPr>
        <sz val="8"/>
        <color theme="1"/>
        <rFont val="Arial"/>
        <family val="2"/>
      </rPr>
      <t>/</t>
    </r>
    <r>
      <rPr>
        <sz val="8"/>
        <color theme="1"/>
        <rFont val="Monaco"/>
        <family val="2"/>
      </rPr>
      <t>⁠</t>
    </r>
    <r>
      <rPr>
        <sz val="8"/>
        <color theme="1"/>
        <rFont val="Arial"/>
        <family val="2"/>
      </rPr>
      <t>C6 Isomerization; Vis: Visbreaker.</t>
    </r>
  </si>
  <si>
    <t>﻿Worldwide crude distillation</t>
  </si>
  <si>
    <t>﻿Total Asia</t>
  </si>
  <si>
    <t>﻿Saudi Arabia Jubail</t>
  </si>
  <si>
    <t>Qatar, Ras Laffan</t>
  </si>
  <si>
    <r>
      <t>Korea, Daesan</t>
    </r>
    <r>
      <rPr>
        <vertAlign val="superscript"/>
        <sz val="9"/>
        <rFont val="Arial"/>
        <family val="2"/>
      </rPr>
      <t> (4)</t>
    </r>
  </si>
  <si>
    <t>China, Dalian</t>
  </si>
  <si>
    <t>Asia &amp; Middle East</t>
  </si>
  <si>
    <t>Total Africa</t>
  </si>
  <si>
    <t>South Africa, Sasolburg</t>
  </si>
  <si>
    <t>Senegal, Dakar</t>
  </si>
  <si>
    <t>Côte d’Ivoire, Abidjan</t>
  </si>
  <si>
    <t>Cameroon, Limbe</t>
  </si>
  <si>
    <t>﻿Total United States</t>
  </si>
  <si>
    <r>
      <t>Texas, Port Arthur (Condensate Splitter) </t>
    </r>
    <r>
      <rPr>
        <vertAlign val="superscript"/>
        <sz val="9"/>
        <color theme="1"/>
        <rFont val="Arial"/>
        <family val="2"/>
      </rPr>
      <t>(3)</t>
    </r>
  </si>
  <si>
    <t>Texas, Port Arthur (Refinery)</t>
  </si>
  <si>
    <t>﻿Total rest of Europe</t>
  </si>
  <si>
    <r>
      <t>Italy, Trecate (TotalErg)</t>
    </r>
    <r>
      <rPr>
        <vertAlign val="superscript"/>
        <sz val="9"/>
        <color rgb="FFFF0000"/>
        <rFont val="Arial"/>
        <family val="2"/>
      </rPr>
      <t> </t>
    </r>
    <r>
      <rPr>
        <vertAlign val="superscript"/>
        <sz val="9"/>
        <rFont val="Arial"/>
        <family val="2"/>
      </rPr>
      <t>(2)</t>
    </r>
  </si>
  <si>
    <t>Germany, Leuna</t>
  </si>
  <si>
    <t>Belgium, Antwerp</t>
  </si>
  <si>
    <t>Netherlands, Vlissingen</t>
  </si>
  <si>
    <r>
      <t>United Kingdom, Immingham</t>
    </r>
    <r>
      <rPr>
        <sz val="9"/>
        <color theme="1"/>
        <rFont val="Monaco"/>
        <family val="2"/>
      </rPr>
      <t>⁠⁠</t>
    </r>
    <r>
      <rPr>
        <sz val="9"/>
        <color theme="1"/>
        <rFont val="Arial"/>
        <family val="2"/>
      </rPr>
      <t>/</t>
    </r>
    <r>
      <rPr>
        <sz val="9"/>
        <color theme="1"/>
        <rFont val="Monaco"/>
        <family val="2"/>
      </rPr>
      <t>⁠⁠</t>
    </r>
    <r>
      <rPr>
        <sz val="9"/>
        <color theme="1"/>
        <rFont val="Arial"/>
        <family val="2"/>
      </rPr>
      <t>Lindsey</t>
    </r>
  </si>
  <si>
    <t>Total France</t>
  </si>
  <si>
    <t>Grandpuits</t>
  </si>
  <si>
    <t>Feyzin</t>
  </si>
  <si>
    <t>Donges</t>
  </si>
  <si>
    <t>Provence, La Mède</t>
  </si>
  <si>
    <t>Normandy, Gonfreville</t>
  </si>
  <si>
    <r>
      <rPr>
        <b/>
        <sz val="10"/>
        <color rgb="FF00976D"/>
        <rFont val="HelveticaNeueLT Com 23 UltLtEx"/>
        <family val="2"/>
      </rPr>
      <t>﻿</t>
    </r>
    <r>
      <rPr>
        <b/>
        <sz val="10"/>
        <color rgb="FF00976D"/>
        <rFont val="Arial"/>
        <family val="2"/>
      </rPr>
      <t>Coker</t>
    </r>
  </si>
  <si>
    <t>Vis</t>
  </si>
  <si>
    <t>Isom</t>
  </si>
  <si>
    <t>Alky</t>
  </si>
  <si>
    <t>Dist.
Hydro-
Treat</t>
  </si>
  <si>
    <t>Resid.
Hydro-
Treat</t>
  </si>
  <si>
    <t>Hydro- 
Cracking</t>
  </si>
  <si>
    <t>Cat 
Reform</t>
  </si>
  <si>
    <t>Cat 
Crack</t>
  </si>
  <si>
    <t>Group 
Capacity</t>
  </si>
  <si>
    <t>Group 
Interest</t>
  </si>
  <si>
    <t>Total 
Distillation
Capacity</t>
  </si>
  <si>
    <t xml:space="preserve">(kb/d) </t>
  </si>
  <si>
    <r>
      <t>Major upgrading plant capacity at 100%</t>
    </r>
    <r>
      <rPr>
        <b/>
        <vertAlign val="superscript"/>
        <sz val="10"/>
        <color rgb="FF00976D"/>
        <rFont val="Arial"/>
        <family val="2"/>
      </rPr>
      <t>(1)</t>
    </r>
  </si>
  <si>
    <t>(3) Including TOTAL share (50%) in HTC Condensate Splitter in Korea from December 31, 2015.</t>
  </si>
  <si>
    <t>(2) Including from December 31, 2015, TOTAL share in BTP Condensate Splitter (40%) in United States.</t>
  </si>
  <si>
    <t>(1) Capacity at the end of the year. Including share of TotalErg (sold in 2018), as well as refineries in Africa and the French Antilles (sold in 2015) that are reported in the Marketing &amp; Services segment.</t>
  </si>
  <si>
    <r>
      <t>Asia &amp; Middle East</t>
    </r>
    <r>
      <rPr>
        <vertAlign val="superscript"/>
        <sz val="9"/>
        <color theme="1"/>
        <rFont val="Arial"/>
        <family val="2"/>
      </rPr>
      <t> (3)(4)</t>
    </r>
  </si>
  <si>
    <r>
      <t>United States and French West Indies </t>
    </r>
    <r>
      <rPr>
        <vertAlign val="superscript"/>
        <sz val="9"/>
        <color theme="1"/>
        <rFont val="Arial"/>
        <family val="2"/>
      </rPr>
      <t>(2)</t>
    </r>
  </si>
  <si>
    <t>2012</t>
  </si>
  <si>
    <t>2013</t>
  </si>
  <si>
    <t>As of December 31, (kb/d)</t>
  </si>
  <si>
    <r>
      <rPr>
        <sz val="10"/>
        <color theme="1"/>
        <rFont val="Krungthep"/>
        <family val="2"/>
      </rPr>
      <t>﻿</t>
    </r>
    <r>
      <rPr>
        <sz val="10"/>
        <color theme="1"/>
        <rFont val="Arial"/>
        <family val="2"/>
      </rPr>
      <t>Capacity, throughput and production data include equity share of refineries in which the Group holds a direct or indirect interest:</t>
    </r>
  </si>
  <si>
    <r>
      <t>DISTILLATION CAPACITY (GROUP SHARE)</t>
    </r>
    <r>
      <rPr>
        <b/>
        <vertAlign val="superscript"/>
        <sz val="12"/>
        <color rgb="FFFF6E23"/>
        <rFont val="Arial"/>
        <family val="2"/>
      </rPr>
      <t>(1)</t>
    </r>
  </si>
  <si>
    <t>(3) Including TOTAL share (50%) in HTC Condensate Splitter in Korea from 2015. 2015 datas have been restated.</t>
  </si>
  <si>
    <t>(2) Including from 2015 TOTAL share in BTP Condensate Splitter (40%) in United States. 2015 datas have been restated.</t>
  </si>
  <si>
    <r>
      <t>Asia &amp; Middle East</t>
    </r>
    <r>
      <rPr>
        <vertAlign val="superscript"/>
        <sz val="9"/>
        <rFont val="Arial"/>
        <family val="2"/>
      </rPr>
      <t>(3)</t>
    </r>
  </si>
  <si>
    <r>
      <t>United States and French West Indies</t>
    </r>
    <r>
      <rPr>
        <vertAlign val="superscript"/>
        <sz val="9"/>
        <rFont val="Arial"/>
        <family val="2"/>
      </rPr>
      <t>(2)</t>
    </r>
  </si>
  <si>
    <r>
      <rPr>
        <sz val="9"/>
        <rFont val="Arial"/>
        <family val="2"/>
      </rPr>
      <t>France</t>
    </r>
  </si>
  <si>
    <t>(kb/d)</t>
  </si>
  <si>
    <r>
      <rPr>
        <sz val="10"/>
        <color theme="1"/>
        <rFont val="Arial"/>
        <family val="2"/>
      </rPr>
      <t>Capacity, throughput and production data include equity share of refineries in which the Group holds a direct or indirect interest:</t>
    </r>
  </si>
  <si>
    <r>
      <t>REFINERY THROUGHPUT (GROUP SHARE)</t>
    </r>
    <r>
      <rPr>
        <b/>
        <vertAlign val="superscript"/>
        <sz val="12"/>
        <color rgb="FFFF6E23"/>
        <rFont val="Arial"/>
        <family val="2"/>
      </rPr>
      <t>(1)</t>
    </r>
  </si>
  <si>
    <t>(5) Including TOTAL share (50%) in HTC Condensate Splitter in Korea from 2015. 2015 datas have been restated.</t>
  </si>
  <si>
    <t>(4) Including from 2015 TOTAL share in BTP Condensate Splitter (40%) in United States. 2015 datas have been restated.</t>
  </si>
  <si>
    <t>(3) Including share of TotalErg.</t>
  </si>
  <si>
    <r>
      <rPr>
        <sz val="8"/>
        <color theme="1"/>
        <rFont val="Arial"/>
        <family val="2"/>
      </rPr>
      <t>(1) Including equity share of refineries in which the Group has a stake.</t>
    </r>
  </si>
  <si>
    <t>Average</t>
  </si>
  <si>
    <r>
      <t>Asia &amp; Middle East</t>
    </r>
    <r>
      <rPr>
        <vertAlign val="superscript"/>
        <sz val="9"/>
        <rFont val="Arial"/>
        <family val="2"/>
      </rPr>
      <t>(5)</t>
    </r>
  </si>
  <si>
    <r>
      <t>Americas</t>
    </r>
    <r>
      <rPr>
        <vertAlign val="superscript"/>
        <sz val="9"/>
        <rFont val="Arial"/>
        <family val="2"/>
      </rPr>
      <t>(4)</t>
    </r>
  </si>
  <si>
    <r>
      <t>Rest of Europe</t>
    </r>
    <r>
      <rPr>
        <vertAlign val="superscript"/>
        <sz val="9"/>
        <rFont val="Arial"/>
        <family val="2"/>
      </rPr>
      <t> (3)</t>
    </r>
  </si>
  <si>
    <t>(%)</t>
  </si>
  <si>
    <r>
      <t>UTILIZATION RATE (BASED ON CRUDE AND OTHER FEEDSTOCKS)</t>
    </r>
    <r>
      <rPr>
        <b/>
        <vertAlign val="superscript"/>
        <sz val="12"/>
        <color rgb="FFFF6E23"/>
        <rFont val="Arial"/>
        <family val="2"/>
      </rPr>
      <t>(1)(2)</t>
    </r>
  </si>
  <si>
    <r>
      <rPr>
        <sz val="8"/>
        <color theme="1"/>
        <rFont val="Arial"/>
        <family val="2"/>
      </rPr>
      <t>(2) Crude</t>
    </r>
    <r>
      <rPr>
        <sz val="8"/>
        <color theme="1"/>
        <rFont val="Monaco"/>
        <family val="2"/>
      </rPr>
      <t>⁠</t>
    </r>
    <r>
      <rPr>
        <sz val="8"/>
        <color theme="1"/>
        <rFont val="Arial"/>
        <family val="2"/>
      </rPr>
      <t>/</t>
    </r>
    <r>
      <rPr>
        <sz val="8"/>
        <color theme="1"/>
        <rFont val="Monaco"/>
        <family val="2"/>
      </rPr>
      <t>⁠</t>
    </r>
    <r>
      <rPr>
        <sz val="8"/>
        <color theme="1"/>
        <rFont val="Arial"/>
        <family val="2"/>
      </rPr>
      <t xml:space="preserve">distillation capacity at the beginning of the year (2014: SATORP refinery’s capacity considered as from January 1).
</t>
    </r>
  </si>
  <si>
    <r>
      <rPr>
        <b/>
        <sz val="9"/>
        <color rgb="FF00976D"/>
        <rFont val="Arial Bold"/>
        <family val="2"/>
      </rPr>
      <t>Average</t>
    </r>
  </si>
  <si>
    <r>
      <t>UTILIZATION RATE (BASED ON CRUDE ONLY)</t>
    </r>
    <r>
      <rPr>
        <b/>
        <vertAlign val="superscript"/>
        <sz val="12"/>
        <color rgb="FFFF6E23"/>
        <rFont val="Arial"/>
        <family val="2"/>
      </rPr>
      <t>(1)(2)</t>
    </r>
  </si>
  <si>
    <t>(2) : Condensates productions of BTP and HTC are included in refining production as from 2015 and 2015 datas have been restated.</t>
  </si>
  <si>
    <r>
      <rPr>
        <sz val="8"/>
        <color theme="1"/>
        <rFont val="Arial"/>
        <family val="2"/>
      </rPr>
      <t>(1) For refineries not 100% owned by TOTAL the production shown is TOTAL’s equity share of the site’s overall production.</t>
    </r>
  </si>
  <si>
    <t>Other products</t>
  </si>
  <si>
    <t>Bitumen</t>
  </si>
  <si>
    <t>Lubricants</t>
  </si>
  <si>
    <t>Fuel oils</t>
  </si>
  <si>
    <t>Diesel fuel and heating oils</t>
  </si>
  <si>
    <t>Avgas, jet fuel and kerosene</t>
  </si>
  <si>
    <t>Motor gasoline</t>
  </si>
  <si>
    <r>
      <rPr>
        <sz val="9"/>
        <rFont val="Arial"/>
        <family val="2"/>
      </rPr>
      <t>LPG</t>
    </r>
  </si>
  <si>
    <r>
      <t>The table below sets forth by product category TOTAL’s net share of refined quantities produced at the Group’s refineries</t>
    </r>
    <r>
      <rPr>
        <vertAlign val="superscript"/>
        <sz val="10"/>
        <color theme="1"/>
        <rFont val="Arial"/>
        <family val="2"/>
      </rPr>
      <t>(1)(2)</t>
    </r>
    <r>
      <rPr>
        <sz val="10"/>
        <color theme="1"/>
        <rFont val="Arial"/>
        <family val="2"/>
      </rPr>
      <t>.</t>
    </r>
  </si>
  <si>
    <r>
      <t>PRODUCTION LEVELS (GROUP SHARE)</t>
    </r>
    <r>
      <rPr>
        <b/>
        <vertAlign val="superscript"/>
        <sz val="12"/>
        <color rgb="FFFF6E23"/>
        <rFont val="Arial"/>
        <family val="2"/>
      </rPr>
      <t>(1)</t>
    </r>
  </si>
  <si>
    <r>
      <rPr>
        <sz val="8"/>
        <color theme="1"/>
        <rFont val="Krungthep"/>
        <family val="2"/>
      </rPr>
      <t>﻿</t>
    </r>
    <r>
      <rPr>
        <sz val="8"/>
        <color theme="1"/>
        <rFont val="Arial"/>
        <family val="2"/>
      </rPr>
      <t>(5) Mainly Monoethylene Glycol (MEG) and Cyclohexane.</t>
    </r>
  </si>
  <si>
    <r>
      <rPr>
        <sz val="8"/>
        <color theme="1"/>
        <rFont val="Krungthep"/>
        <family val="2"/>
      </rPr>
      <t>﻿</t>
    </r>
    <r>
      <rPr>
        <sz val="8"/>
        <color theme="1"/>
        <rFont val="Arial"/>
        <family val="2"/>
      </rPr>
      <t xml:space="preserve">(4) Including monomer styrene.
</t>
    </r>
  </si>
  <si>
    <r>
      <rPr>
        <sz val="8"/>
        <color theme="1"/>
        <rFont val="Krungthep"/>
        <family val="2"/>
      </rPr>
      <t>﻿</t>
    </r>
    <r>
      <rPr>
        <sz val="8"/>
        <color theme="1"/>
        <rFont val="Arial"/>
        <family val="2"/>
      </rPr>
      <t xml:space="preserve">(3) Ethylene + Propylene + Butadiene.
</t>
    </r>
  </si>
  <si>
    <r>
      <rPr>
        <sz val="8"/>
        <color theme="1"/>
        <rFont val="Krungthep"/>
        <family val="2"/>
      </rPr>
      <t>﻿</t>
    </r>
    <r>
      <rPr>
        <sz val="8"/>
        <color theme="1"/>
        <rFont val="Arial"/>
        <family val="2"/>
      </rPr>
      <t>(2) Including interests in Qatar, 50% of Hanwha Total Petrochemicals Co. Ltd and 37.5% of SATORP in Saudi Arabia.</t>
    </r>
  </si>
  <si>
    <r>
      <rPr>
        <sz val="8"/>
        <color theme="1"/>
        <rFont val="Krungthep"/>
        <family val="2"/>
      </rPr>
      <t>﻿</t>
    </r>
    <r>
      <rPr>
        <sz val="8"/>
        <color theme="1"/>
        <rFont val="Arial"/>
        <family val="2"/>
      </rPr>
      <t>(1) Excluding inter-segment sales.</t>
    </r>
  </si>
  <si>
    <t xml:space="preserve"> -   </t>
  </si>
  <si>
    <r>
      <t>Others</t>
    </r>
    <r>
      <rPr>
        <vertAlign val="superscript"/>
        <sz val="9"/>
        <rFont val="Arial"/>
        <family val="2"/>
      </rPr>
      <t> (5)</t>
    </r>
  </si>
  <si>
    <t>Polystyrene</t>
  </si>
  <si>
    <t>Polypropylene</t>
  </si>
  <si>
    <t>Polyethylene</t>
  </si>
  <si>
    <r>
      <t>Aromatics</t>
    </r>
    <r>
      <rPr>
        <vertAlign val="superscript"/>
        <sz val="9"/>
        <rFont val="Arial"/>
        <family val="2"/>
      </rPr>
      <t> (4)</t>
    </r>
  </si>
  <si>
    <r>
      <rPr>
        <sz val="9"/>
        <rFont val="Arial"/>
        <family val="2"/>
      </rPr>
      <t>Olefins </t>
    </r>
    <r>
      <rPr>
        <vertAlign val="superscript"/>
        <sz val="9"/>
        <rFont val="Arial"/>
        <family val="2"/>
      </rPr>
      <t>(3)</t>
    </r>
  </si>
  <si>
    <t xml:space="preserve">World </t>
  </si>
  <si>
    <t>World</t>
  </si>
  <si>
    <r>
      <t>Asia and 
Middle 
East</t>
    </r>
    <r>
      <rPr>
        <b/>
        <vertAlign val="superscript"/>
        <sz val="10"/>
        <color rgb="FF00976D"/>
        <rFont val="Arial"/>
        <family val="2"/>
      </rPr>
      <t>(2)</t>
    </r>
  </si>
  <si>
    <t>North 
America</t>
  </si>
  <si>
    <t>Europe</t>
  </si>
  <si>
    <t>(in thousands of tons)</t>
  </si>
  <si>
    <r>
      <t>MAIN PRODUCTION CAPACITIES AT YEAR-END</t>
    </r>
    <r>
      <rPr>
        <b/>
        <vertAlign val="superscript"/>
        <sz val="12"/>
        <color rgb="FFFF6E23"/>
        <rFont val="Arial"/>
        <family val="2"/>
      </rPr>
      <t>(1)</t>
    </r>
  </si>
  <si>
    <r>
      <rPr>
        <sz val="8"/>
        <color theme="1"/>
        <rFont val="Arial"/>
        <family val="2"/>
      </rPr>
      <t>(1) Excluding inter-segment sales and sales by equity affiliates and including fertilizers sales.</t>
    </r>
  </si>
  <si>
    <t>SALES BY GEOGRAPHIC AREA - CHEMICALS(1)</t>
  </si>
  <si>
    <t>(2) Atotech sale completed on January 31, 2017</t>
  </si>
  <si>
    <r>
      <rPr>
        <sz val="8"/>
        <color theme="1"/>
        <rFont val="Arial"/>
        <family val="2"/>
      </rPr>
      <t>(1) Bostik sale to Arkema completed on February 2, 2015.</t>
    </r>
  </si>
  <si>
    <r>
      <t>Atotech</t>
    </r>
    <r>
      <rPr>
        <vertAlign val="superscript"/>
        <sz val="9"/>
        <rFont val="Arial"/>
        <family val="2"/>
      </rPr>
      <t> (2)</t>
    </r>
  </si>
  <si>
    <r>
      <t>Bostik</t>
    </r>
    <r>
      <rPr>
        <vertAlign val="superscript"/>
        <sz val="9"/>
        <rFont val="Arial"/>
        <family val="2"/>
      </rPr>
      <t> (1)</t>
    </r>
  </si>
  <si>
    <t>Hutchinson</t>
  </si>
  <si>
    <t>SALES BY ACTIVITY – SPECIALITY CHEMICALS PRODUCTS</t>
  </si>
  <si>
    <r>
      <rPr>
        <sz val="8"/>
        <color theme="1"/>
        <rFont val="Arial"/>
        <family val="2"/>
      </rPr>
      <t>(1) Excluding inter-segment sales.</t>
    </r>
  </si>
  <si>
    <t>(3) Atotech sale completed on January 31, 2017.</t>
  </si>
  <si>
    <t>(2) Bostik sale to Arkema completed on February 2, 2015.</t>
  </si>
  <si>
    <r>
      <t>Electroplating</t>
    </r>
    <r>
      <rPr>
        <vertAlign val="superscript"/>
        <sz val="9"/>
        <rFont val="Arial"/>
        <family val="2"/>
      </rPr>
      <t>(3)</t>
    </r>
  </si>
  <si>
    <r>
      <t>Adhesives</t>
    </r>
    <r>
      <rPr>
        <vertAlign val="superscript"/>
        <sz val="9"/>
        <rFont val="Arial"/>
        <family val="2"/>
      </rPr>
      <t> (3)</t>
    </r>
  </si>
  <si>
    <t>Elastomer processing</t>
  </si>
  <si>
    <r>
      <rPr>
        <sz val="8"/>
        <color theme="1"/>
        <rFont val="Krungthep"/>
        <family val="2"/>
      </rPr>
      <t>(</t>
    </r>
    <r>
      <rPr>
        <sz val="8"/>
        <color theme="1"/>
        <rFont val="Arial"/>
        <family val="2"/>
      </rPr>
      <t>2) Data for UK procurement</t>
    </r>
    <r>
      <rPr>
        <sz val="8"/>
        <color theme="1"/>
        <rFont val="Monaco"/>
        <family val="2"/>
      </rPr>
      <t>⁠</t>
    </r>
    <r>
      <rPr>
        <sz val="8"/>
        <color theme="1"/>
        <rFont val="Arial"/>
        <family val="2"/>
      </rPr>
      <t>/</t>
    </r>
    <r>
      <rPr>
        <sz val="8"/>
        <color theme="1"/>
        <rFont val="Monaco"/>
        <family val="2"/>
      </rPr>
      <t>⁠</t>
    </r>
    <r>
      <rPr>
        <sz val="8"/>
        <color theme="1"/>
        <rFont val="Arial"/>
        <family val="2"/>
      </rPr>
      <t>exchange reprocessed for 2012 and 2013.</t>
    </r>
  </si>
  <si>
    <r>
      <rPr>
        <sz val="8"/>
        <color theme="1"/>
        <rFont val="Arial"/>
        <family val="2"/>
      </rPr>
      <t>(1) Results of Trading and bulk sales are reported in the Refining &amp; Chemicals segment.</t>
    </r>
  </si>
  <si>
    <t>Refined product sales including Trading and bulk sales</t>
  </si>
  <si>
    <r>
      <t>Bulk sales </t>
    </r>
    <r>
      <rPr>
        <vertAlign val="superscript"/>
        <sz val="9"/>
        <rFont val="Arial"/>
        <family val="2"/>
      </rPr>
      <t>(2)</t>
    </r>
  </si>
  <si>
    <r>
      <t>Trading sales</t>
    </r>
    <r>
      <rPr>
        <vertAlign val="superscript"/>
        <sz val="9"/>
        <rFont val="Arial"/>
        <family val="2"/>
      </rPr>
      <t> (1)</t>
    </r>
  </si>
  <si>
    <t>Refined product sales excluding Trading and bulk sales</t>
  </si>
  <si>
    <t>(2) Represents supply to African non consolidated group companies and third parties.</t>
  </si>
  <si>
    <t>(1) Sales of Totalgaz France and SARA refinery during the 2nd quarter of 2015.</t>
  </si>
  <si>
    <t>Total Worldwide</t>
  </si>
  <si>
    <t>Total Asia-Pacific</t>
  </si>
  <si>
    <t>Indian Ocean islands</t>
  </si>
  <si>
    <t>Pacific</t>
  </si>
  <si>
    <r>
      <t>East Asia</t>
    </r>
    <r>
      <rPr>
        <vertAlign val="superscript"/>
        <sz val="9"/>
        <rFont val="Arial"/>
        <family val="2"/>
      </rPr>
      <t>(5)</t>
    </r>
  </si>
  <si>
    <t>Total Middle East</t>
  </si>
  <si>
    <t>Jordan, Lebanon, Turkey and others</t>
  </si>
  <si>
    <r>
      <t>Middle East</t>
    </r>
    <r>
      <rPr>
        <b/>
        <vertAlign val="superscript"/>
        <sz val="9"/>
        <rFont val="Arial"/>
        <family val="2"/>
      </rPr>
      <t>(4)</t>
    </r>
  </si>
  <si>
    <t>Total Americas</t>
  </si>
  <si>
    <t>Latin America</t>
  </si>
  <si>
    <r>
      <t>Caribbean Islands</t>
    </r>
    <r>
      <rPr>
        <vertAlign val="superscript"/>
        <sz val="9"/>
        <rFont val="Arial"/>
        <family val="2"/>
      </rPr>
      <t>(1)(3)</t>
    </r>
  </si>
  <si>
    <r>
      <t xml:space="preserve">Other </t>
    </r>
    <r>
      <rPr>
        <vertAlign val="superscript"/>
        <sz val="9"/>
        <rFont val="Arial"/>
        <family val="2"/>
      </rPr>
      <t>(2)</t>
    </r>
  </si>
  <si>
    <t>Central Africa</t>
  </si>
  <si>
    <t>Southern Africa</t>
  </si>
  <si>
    <t>Eastern Africa</t>
  </si>
  <si>
    <t>Western Africa</t>
  </si>
  <si>
    <t>Northern Africa</t>
  </si>
  <si>
    <t>Total Europe</t>
  </si>
  <si>
    <t>Portugal</t>
  </si>
  <si>
    <t>Spain</t>
  </si>
  <si>
    <t>Germany</t>
  </si>
  <si>
    <t>Benelux</t>
  </si>
  <si>
    <r>
      <rPr>
        <sz val="9"/>
        <rFont val="Noteworthy Bold"/>
        <family val="2"/>
      </rPr>
      <t>﻿</t>
    </r>
    <r>
      <rPr>
        <sz val="9"/>
        <rFont val="Arial"/>
        <family val="2"/>
      </rPr>
      <t>France</t>
    </r>
    <r>
      <rPr>
        <vertAlign val="superscript"/>
        <sz val="9"/>
        <rFont val="Arial"/>
        <family val="2"/>
      </rPr>
      <t>(1)</t>
    </r>
  </si>
  <si>
    <r>
      <rPr>
        <i/>
        <sz val="10"/>
        <color rgb="FF8C2365"/>
        <rFont val="Menlo Regular"/>
        <family val="2"/>
      </rPr>
      <t>﻿</t>
    </r>
    <r>
      <rPr>
        <i/>
        <sz val="10"/>
        <color rgb="FF8C2365"/>
        <rFont val="Arial"/>
        <family val="2"/>
      </rPr>
      <t>(kb</t>
    </r>
    <r>
      <rPr>
        <i/>
        <sz val="10"/>
        <color rgb="FF8C2365"/>
        <rFont val="Arial"/>
        <family val="2"/>
      </rPr>
      <t>/</t>
    </r>
    <r>
      <rPr>
        <i/>
        <sz val="10"/>
        <color rgb="FF8C2365"/>
        <rFont val="Arial"/>
        <family val="2"/>
      </rPr>
      <t>d)</t>
    </r>
  </si>
  <si>
    <t>(1) 2014- 2016 data have been restated.</t>
  </si>
  <si>
    <t>Solvents</t>
  </si>
  <si>
    <r>
      <t xml:space="preserve">Avgas and jet fuel </t>
    </r>
    <r>
      <rPr>
        <vertAlign val="superscript"/>
        <sz val="9"/>
        <rFont val="Arial"/>
        <family val="2"/>
      </rPr>
      <t>(1)</t>
    </r>
  </si>
  <si>
    <r>
      <t xml:space="preserve">Motor gasoline </t>
    </r>
    <r>
      <rPr>
        <vertAlign val="superscript"/>
        <sz val="9"/>
        <rFont val="Arial"/>
        <family val="2"/>
      </rPr>
      <t>(1)</t>
    </r>
  </si>
  <si>
    <t>﻿LPG</t>
  </si>
  <si>
    <r>
      <rPr>
        <sz val="10"/>
        <color rgb="FF8C2365"/>
        <rFont val="Maison Neue TRIAL Mono Italic"/>
        <family val="2"/>
      </rPr>
      <t>﻿</t>
    </r>
    <r>
      <rPr>
        <sz val="10"/>
        <color rgb="FF8C2365"/>
        <rFont val="Arial Italic"/>
        <family val="2"/>
      </rPr>
      <t>(kb/d)</t>
    </r>
  </si>
  <si>
    <r>
      <rPr>
        <b/>
        <sz val="10"/>
        <color rgb="FFFF6E23"/>
        <rFont val="Lucida Sans Unicode"/>
        <family val="2"/>
      </rPr>
      <t>﻿</t>
    </r>
    <r>
      <rPr>
        <b/>
        <sz val="10"/>
        <color rgb="FFFF6E23"/>
        <rFont val="Arial Bold"/>
      </rPr>
      <t>By main products</t>
    </r>
  </si>
  <si>
    <t>(3) Including the acquisition of service-stations in Philippines in July 2016.</t>
  </si>
  <si>
    <t>(2) Including a status change for 450 service-stations in Turkey in March 2016.</t>
  </si>
  <si>
    <t>﻿(1) Including the acquisition of service-stations in Dominican Republic in January 2016.</t>
  </si>
  <si>
    <t>Total excluding AS24</t>
  </si>
  <si>
    <r>
      <t>East Asia</t>
    </r>
    <r>
      <rPr>
        <vertAlign val="superscript"/>
        <sz val="9"/>
        <rFont val="Arial"/>
        <family val="2"/>
      </rPr>
      <t>(3)</t>
    </r>
  </si>
  <si>
    <r>
      <t>Jordan, Lebanon, Turkey</t>
    </r>
    <r>
      <rPr>
        <vertAlign val="superscript"/>
        <sz val="9"/>
        <rFont val="Arial"/>
        <family val="2"/>
      </rPr>
      <t>(2)</t>
    </r>
  </si>
  <si>
    <t>Middle East</t>
  </si>
  <si>
    <r>
      <t>Caribbean Islands</t>
    </r>
    <r>
      <rPr>
        <vertAlign val="superscript"/>
        <sz val="9"/>
        <rFont val="Arial"/>
        <family val="2"/>
      </rPr>
      <t>(1)</t>
    </r>
  </si>
  <si>
    <t>AS24 Stations</t>
  </si>
  <si>
    <t>Eastern Europe (Poland)</t>
  </si>
  <si>
    <t>﻿France</t>
  </si>
  <si>
    <r>
      <t>SERVICE-STATIONS</t>
    </r>
    <r>
      <rPr>
        <b/>
        <vertAlign val="superscript"/>
        <sz val="12"/>
        <color rgb="FFFF6E23"/>
        <rFont val="Arial"/>
        <family val="2"/>
      </rPr>
      <t xml:space="preserve"> (1)</t>
    </r>
  </si>
  <si>
    <t>GAS, RENEWABLE &amp; POWER</t>
  </si>
  <si>
    <t xml:space="preserve">        FACTBOOK 2017</t>
  </si>
  <si>
    <t>Note on FS (p7)</t>
  </si>
  <si>
    <t>Financial highlights (p7)</t>
  </si>
  <si>
    <t>Market environment (p7)</t>
  </si>
  <si>
    <t>Op. High. by quarter (p8-9)</t>
  </si>
  <si>
    <t>Fin. High. by quarter (p8-9)</t>
  </si>
  <si>
    <t>Market envir. price (p8-9)</t>
  </si>
  <si>
    <t>Consol. stat. income (p10)</t>
  </si>
  <si>
    <t>Sales (p11)</t>
  </si>
  <si>
    <t>Deprec. depl. &amp; impairme. (p11)</t>
  </si>
  <si>
    <t>Equity in income (loss) (p11)</t>
  </si>
  <si>
    <t>Income taxes (p11)</t>
  </si>
  <si>
    <t>Adj. items op. income (p12)</t>
  </si>
  <si>
    <t>Adj. items net income (p13)</t>
  </si>
  <si>
    <t>Cons. balance sheet in (p14)</t>
  </si>
  <si>
    <t>Net tangible &amp; intangible (p15)</t>
  </si>
  <si>
    <t>Property, plant &amp; equip. (p15)</t>
  </si>
  <si>
    <t>Non-current assets (p15)</t>
  </si>
  <si>
    <t>Non-current debt (p16)</t>
  </si>
  <si>
    <t>Consolidated Equity (p17)</t>
  </si>
  <si>
    <t>Net-debt-to-equity ratio (p18)</t>
  </si>
  <si>
    <t>Capital replacement cost (p18)</t>
  </si>
  <si>
    <t>Capital employed (p18)</t>
  </si>
  <si>
    <t>ROACE by bs (p19)</t>
  </si>
  <si>
    <t>Conso stat. cash flows (p20)</t>
  </si>
  <si>
    <t xml:space="preserve">Cash flows from op. (p20) </t>
  </si>
  <si>
    <t>Organic investments by bs (p21)</t>
  </si>
  <si>
    <t>Divestments by bs (p21)</t>
  </si>
  <si>
    <t>Share information (p23)</t>
  </si>
  <si>
    <t>Payroll (p24)</t>
  </si>
  <si>
    <t>Number of employees (p24)</t>
  </si>
  <si>
    <t>Financial highlights (p27)</t>
  </si>
  <si>
    <t>Production (p27)</t>
  </si>
  <si>
    <t>Proved reserves (p27)</t>
  </si>
  <si>
    <t>Key op. ratios Group (p28)</t>
  </si>
  <si>
    <t>Key op. ratios subs. (p28)</t>
  </si>
  <si>
    <t>Comb. liquids gas prod. (p29</t>
  </si>
  <si>
    <t>Liquids prod. (p30)</t>
  </si>
  <si>
    <t>Gas prod. (p31)</t>
  </si>
  <si>
    <t>Changes oil bitum. gas (p32-36)</t>
  </si>
  <si>
    <t>Changes oil res. (p37-40)</t>
  </si>
  <si>
    <t>Changes bitum. res. (p41)</t>
  </si>
  <si>
    <t>Changes gas res. (p42-45)</t>
  </si>
  <si>
    <t>Results op. activities (p46-47)</t>
  </si>
  <si>
    <t>Cost incurred (p48)</t>
  </si>
  <si>
    <t>Capitalized cost (p49-50)</t>
  </si>
  <si>
    <t>Net cash flows (p51-52)</t>
  </si>
  <si>
    <t>Changes net cash flows (p53)</t>
  </si>
  <si>
    <t>Oil Gas Acreage (p54)</t>
  </si>
  <si>
    <t>Nb. prod. wells (p55)</t>
  </si>
  <si>
    <t>Nb.prod.dry.wells drilled (p56)</t>
  </si>
  <si>
    <t>Explo.Devpt.wells (p57)</t>
  </si>
  <si>
    <t>Power gen. facilities (p93)</t>
  </si>
  <si>
    <t xml:space="preserve">LNG sales (p94) </t>
  </si>
  <si>
    <t>Pipeline gas sales (p98)</t>
  </si>
  <si>
    <t>Operational highlights (p103)</t>
  </si>
  <si>
    <t>Refinery capacity (p107)</t>
  </si>
  <si>
    <t>Distillation capacity (p107)</t>
  </si>
  <si>
    <t>Refinery throughput (p108)</t>
  </si>
  <si>
    <t>Utiliz. rate feedstocks (p108)</t>
  </si>
  <si>
    <t>Utiliz. rate crude (p108)</t>
  </si>
  <si>
    <t>Production levels (p108)</t>
  </si>
  <si>
    <t>Main prod. capacities (p109)</t>
  </si>
  <si>
    <t>Sales by geo. area (p109)</t>
  </si>
  <si>
    <t>Sales by activity (p 110)</t>
  </si>
  <si>
    <t>Sales by geo. area (p110)</t>
  </si>
  <si>
    <t>Sales by activity (p110)</t>
  </si>
  <si>
    <t>Operational highlights (p113)</t>
  </si>
  <si>
    <t>Petrol sales by area (p117)</t>
  </si>
  <si>
    <t>Petrol. sales by product (p117)</t>
  </si>
  <si>
    <t>Service-Stations (p118)</t>
  </si>
  <si>
    <t>Gross investments (p21)</t>
  </si>
  <si>
    <t>Financial highlights (p93)</t>
  </si>
  <si>
    <t>Financial highlights (p113)</t>
  </si>
  <si>
    <r>
      <t>SALES BY ACTIVITY</t>
    </r>
    <r>
      <rPr>
        <b/>
        <sz val="12"/>
        <color rgb="FFFF6E23"/>
        <rFont val="Arial"/>
        <family val="2"/>
      </rPr>
      <t xml:space="preserve">– SPECIALITY CHEMICALS PRODUCTS </t>
    </r>
    <r>
      <rPr>
        <b/>
        <vertAlign val="superscript"/>
        <sz val="12"/>
        <color rgb="FFFF6E23"/>
        <rFont val="Arial"/>
        <family val="2"/>
      </rPr>
      <t>(1)</t>
    </r>
  </si>
  <si>
    <r>
      <t>SALES BY GEOGRAPHIC AREA</t>
    </r>
    <r>
      <rPr>
        <b/>
        <sz val="12"/>
        <color rgb="FFFF6E23"/>
        <rFont val="Arial"/>
        <family val="2"/>
      </rPr>
      <t xml:space="preserve">– SPECIALITY CHEMICALS PRODUCTS </t>
    </r>
    <r>
      <rPr>
        <b/>
        <vertAlign val="superscript"/>
        <sz val="12"/>
        <color rgb="FFFF6E23"/>
        <rFont val="Arial"/>
        <family val="2"/>
      </rPr>
      <t>(1)</t>
    </r>
  </si>
  <si>
    <t>Interests pipelines (p58)</t>
  </si>
  <si>
    <t>Financial highlights (p103)</t>
  </si>
  <si>
    <t>Total has implemented a new organization fully effective since January 1, 2017,structered around four following business segments :  An Exploration &amp; Production segment, a Gas, Renewables &amp; Power segment, a Refining &amp; Chemicals segment and a Marketing &amp; Services segment. In addition, the Corporate segment includes operating and financial activities.
Certain figures for the years 2015 and 2016 have been restated in order to reflect the new organization with four business segments. 2013 and 2014 business segment data have not been restated therefore Exploration &amp; Production includes Gas businesses, Marketing &amp; Services includes New Energies and Biofuels businesses for the years 2013 and 2014.</t>
  </si>
  <si>
    <t xml:space="preserve">(1) Total has implemented a new organization fully effective since January 1, 2017,structered around four following business segments: Exploration &amp; Production, </t>
  </si>
  <si>
    <t>and Biofuels businesses.</t>
  </si>
  <si>
    <t xml:space="preserve">(1) 2013 and 2014 data are not restated to reflect the new organization with four business segments therefore the data shown for 2013 and 2014 include New Energies </t>
  </si>
  <si>
    <r>
      <rPr>
        <sz val="8"/>
        <rFont val="Noteworthy Light"/>
        <family val="2"/>
      </rPr>
      <t>﻿</t>
    </r>
    <r>
      <rPr>
        <sz val="8"/>
        <rFont val="Arial"/>
        <family val="2"/>
      </rPr>
      <t>(3) Including acquisitions and increases in non current loans.</t>
    </r>
  </si>
  <si>
    <r>
      <rPr>
        <b/>
        <sz val="12"/>
        <color rgb="FFFF6E23"/>
        <rFont val="Lucida Sans Unicode"/>
        <family val="2"/>
      </rPr>
      <t>﻿</t>
    </r>
    <r>
      <rPr>
        <b/>
        <sz val="12"/>
        <color rgb="FFFF6E23"/>
        <rFont val="Arial Bold"/>
        <family val="2"/>
      </rPr>
      <t>FINANCIAL HIGHLIGHTS</t>
    </r>
    <r>
      <rPr>
        <b/>
        <vertAlign val="superscript"/>
        <sz val="12"/>
        <color rgb="FFFF6E23"/>
        <rFont val="Arial Bold"/>
      </rPr>
      <t>(1)</t>
    </r>
  </si>
  <si>
    <t xml:space="preserve">Gas, Renewables &amp; Power, Refining &amp; Chemicals and Marketing &amp; Services. 2015 &amp; 2016 data have been restated to reflect the new organization.
</t>
  </si>
  <si>
    <r>
      <t>(2) (Crude + crackers’ feedstock)</t>
    </r>
    <r>
      <rPr>
        <sz val="8"/>
        <color theme="1"/>
        <rFont val="Arial"/>
        <family val="2"/>
      </rPr>
      <t>/</t>
    </r>
    <r>
      <rPr>
        <sz val="8"/>
        <color theme="1"/>
        <rFont val="Arial"/>
        <family val="2"/>
      </rPr>
      <t>distillation capacity at the beginning of the year (2014: SATORP refinery’s capacity considered as from January 1)..</t>
    </r>
  </si>
  <si>
    <t>(3) Including the acquisition of service-stations in Dominican Republic in January 2016.</t>
  </si>
  <si>
    <t>(4) Including the sales of 455 service-stations in Turkey in March 2016.</t>
  </si>
  <si>
    <t>(5) Including the acquisition of service-stations in Philippines in July 2016.</t>
  </si>
  <si>
    <t xml:space="preserve">– +246 Mboe due to economic factors as a result of higher yearly average hydrocarbon prices, including primarily a rebooking of some Canadian oil sands proved undeveloped reserves, as well as a delayed economic limit </t>
  </si>
  <si>
    <t>on a number of other assets mainly in Republic of Congo, partly compensated by lower entitlement share from production sharing and risked service contracts, in particular in Iraq; and</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</si>
</sst>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0.00;\(#,##0.00\)"/>
    <numFmt numFmtId="166" formatCode="#,##0.0;\(#,##0.0\)"/>
    <numFmt numFmtId="167" formatCode="0.0%"/>
    <numFmt numFmtId="168" formatCode="0.0"/>
    <numFmt numFmtId="169" formatCode="#,##0.0_);\(#,##0.0\)"/>
    <numFmt numFmtId="170" formatCode="#,##0.0"/>
    <numFmt numFmtId="171" formatCode="#,##0_);\(#,##0\)"/>
    <numFmt numFmtId="172" formatCode="#,##0;[Red]#,##0"/>
    <numFmt numFmtId="173" formatCode="0.0_);\(0.0\)"/>
    <numFmt numFmtId="174" formatCode="#,##0.00;\(#,##0.00\);&quot;-&quot;"/>
  </numFmts>
  <fonts count="120">
    <font>
      <sz val="12"/>
      <color theme="1"/>
      <name val="Calibri"/>
      <family val="2"/>
      <scheme val="minor"/>
    </font>
    <font>
      <sz val="12"/>
      <color theme="1"/>
      <name val="Calibri"/>
      <family val="2"/>
      <scheme val="minor"/>
    </font>
    <font>
      <sz val="12"/>
      <color theme="1"/>
      <name val="Calibri"/>
      <family val="2"/>
      <scheme val="minor"/>
    </font>
    <font>
      <b/>
      <sz val="12"/>
      <color rgb="FFFF6E23"/>
      <name val="Arial"/>
      <family val="2"/>
    </font>
    <font>
      <b/>
      <sz val="10"/>
      <color rgb="FF3876AF"/>
      <name val="Arial"/>
      <family val="2"/>
    </font>
    <font>
      <i/>
      <sz val="10"/>
      <color theme="4"/>
      <name val="Arial"/>
      <family val="2"/>
    </font>
    <font>
      <b/>
      <sz val="9"/>
      <name val="Arial"/>
      <family val="2"/>
    </font>
    <font>
      <sz val="9"/>
      <name val="Arial"/>
      <family val="2"/>
    </font>
    <font>
      <vertAlign val="superscript"/>
      <sz val="9"/>
      <name val="Arial"/>
      <family val="2"/>
    </font>
    <font>
      <b/>
      <vertAlign val="superscript"/>
      <sz val="9"/>
      <name val="Arial"/>
      <family val="2"/>
    </font>
    <font>
      <sz val="8"/>
      <color theme="1"/>
      <name val="Arial"/>
      <family val="2"/>
    </font>
    <font>
      <b/>
      <vertAlign val="superscript"/>
      <sz val="12"/>
      <color rgb="FFFF6E23"/>
      <name val="Arial"/>
      <family val="2"/>
    </font>
    <font>
      <i/>
      <sz val="10"/>
      <color rgb="FF264D93"/>
      <name val="Arial"/>
      <family val="2"/>
    </font>
    <font>
      <sz val="10"/>
      <color theme="1"/>
      <name val="Arial"/>
      <family val="2"/>
    </font>
    <font>
      <i/>
      <sz val="10"/>
      <color rgb="FF3876AF"/>
      <name val="Arial"/>
      <family val="2"/>
    </font>
    <font>
      <sz val="12"/>
      <color rgb="FF3876AF"/>
      <name val="Calibri"/>
      <family val="2"/>
      <scheme val="minor"/>
    </font>
    <font>
      <b/>
      <vertAlign val="superscript"/>
      <sz val="10"/>
      <color rgb="FF3876AF"/>
      <name val="Arial"/>
      <family val="2"/>
    </font>
    <font>
      <sz val="12"/>
      <color rgb="FF000000"/>
      <name val="Calibri"/>
      <family val="2"/>
      <scheme val="minor"/>
    </font>
    <font>
      <b/>
      <sz val="12"/>
      <color rgb="FF000000"/>
      <name val="Calibri"/>
      <family val="2"/>
      <scheme val="minor"/>
    </font>
    <font>
      <b/>
      <sz val="12"/>
      <color theme="1"/>
      <name val="Calibri"/>
      <family val="2"/>
      <scheme val="minor"/>
    </font>
    <font>
      <b/>
      <sz val="9"/>
      <color rgb="FF3876AF"/>
      <name val="Arial"/>
      <family val="2"/>
    </font>
    <font>
      <sz val="12"/>
      <color rgb="FFFF6E23"/>
      <name val="Arial"/>
      <family val="2"/>
    </font>
    <font>
      <sz val="8"/>
      <color rgb="FF000000"/>
      <name val="Arial"/>
      <family val="2"/>
    </font>
    <font>
      <b/>
      <sz val="10"/>
      <color theme="4"/>
      <name val="Arial"/>
      <family val="2"/>
    </font>
    <font>
      <b/>
      <sz val="9"/>
      <color theme="4"/>
      <name val="Arial"/>
      <family val="2"/>
    </font>
    <font>
      <b/>
      <sz val="10"/>
      <color rgb="FFFF6E23"/>
      <name val="Arial"/>
      <family val="2"/>
    </font>
    <font>
      <b/>
      <sz val="12"/>
      <color rgb="FF542C73"/>
      <name val="Arial"/>
      <family val="2"/>
    </font>
    <font>
      <b/>
      <sz val="10"/>
      <color rgb="FF542C73"/>
      <name val="Arial"/>
      <family val="2"/>
    </font>
    <font>
      <sz val="9"/>
      <color indexed="44"/>
      <name val="Arial"/>
      <family val="2"/>
    </font>
    <font>
      <b/>
      <sz val="9"/>
      <color theme="0"/>
      <name val="Arial"/>
      <family val="2"/>
    </font>
    <font>
      <b/>
      <sz val="10"/>
      <color rgb="FF264D93"/>
      <name val="Arial"/>
      <family val="2"/>
    </font>
    <font>
      <b/>
      <sz val="12"/>
      <color indexed="40"/>
      <name val="Arial"/>
      <family val="2"/>
    </font>
    <font>
      <sz val="8"/>
      <name val="Arial"/>
      <family val="2"/>
    </font>
    <font>
      <i/>
      <sz val="8"/>
      <name val="Arial"/>
      <family val="2"/>
    </font>
    <font>
      <sz val="9"/>
      <color theme="1"/>
      <name val="Arial"/>
      <family val="2"/>
    </font>
    <font>
      <u/>
      <sz val="12"/>
      <color theme="10"/>
      <name val="Calibri"/>
      <family val="2"/>
      <scheme val="minor"/>
    </font>
    <font>
      <u/>
      <sz val="12"/>
      <color theme="11"/>
      <name val="Calibri"/>
      <family val="2"/>
      <scheme val="minor"/>
    </font>
    <font>
      <b/>
      <sz val="9"/>
      <color theme="1"/>
      <name val="Arial"/>
      <family val="2"/>
    </font>
    <font>
      <sz val="9"/>
      <name val="Monaco"/>
      <family val="2"/>
    </font>
    <font>
      <b/>
      <sz val="9"/>
      <color rgb="FF3876AF"/>
      <name val="Arial Bold"/>
      <family val="2"/>
    </font>
    <font>
      <i/>
      <sz val="10"/>
      <color rgb="FF3876AF"/>
      <name val="Arial Italic"/>
      <family val="2"/>
    </font>
    <font>
      <sz val="10"/>
      <color rgb="FF3876AF"/>
      <name val="Arial Italic"/>
    </font>
    <font>
      <sz val="10"/>
      <color rgb="FF3876AF"/>
      <name val="Arial"/>
      <family val="2"/>
    </font>
    <font>
      <b/>
      <sz val="10"/>
      <color rgb="FF8C2365"/>
      <name val="Arial"/>
      <family val="2"/>
    </font>
    <font>
      <i/>
      <sz val="10"/>
      <color rgb="FF8C2365"/>
      <name val="Arial"/>
      <family val="2"/>
    </font>
    <font>
      <b/>
      <u/>
      <sz val="12"/>
      <color rgb="FFFF0000"/>
      <name val="Calibri"/>
      <family val="2"/>
      <scheme val="minor"/>
    </font>
    <font>
      <b/>
      <sz val="12"/>
      <color rgb="FFFF6E23"/>
      <name val="Lucida Sans Unicode"/>
      <family val="2"/>
    </font>
    <font>
      <b/>
      <sz val="12"/>
      <color rgb="FFFF6E23"/>
      <name val="Arial Bold"/>
      <family val="2"/>
    </font>
    <font>
      <b/>
      <sz val="10"/>
      <color rgb="FF00976D"/>
      <name val="Arial"/>
      <family val="2"/>
    </font>
    <font>
      <i/>
      <sz val="10"/>
      <color rgb="FF00976D"/>
      <name val="Arial"/>
      <family val="2"/>
    </font>
    <font>
      <sz val="12"/>
      <color rgb="FFFA7D00"/>
      <name val="Calibri"/>
      <family val="2"/>
      <scheme val="minor"/>
    </font>
    <font>
      <i/>
      <sz val="10"/>
      <color rgb="FF542C73"/>
      <name val="Arial"/>
      <family val="2"/>
    </font>
    <font>
      <sz val="12"/>
      <name val="Arial"/>
      <family val="2"/>
    </font>
    <font>
      <b/>
      <vertAlign val="superscript"/>
      <sz val="9"/>
      <color rgb="FF3876AF"/>
      <name val="Arial"/>
      <family val="2"/>
    </font>
    <font>
      <sz val="8"/>
      <color theme="1"/>
      <name val="Krungthep"/>
      <family val="2"/>
    </font>
    <font>
      <sz val="8"/>
      <color theme="1"/>
      <name val="Monaco"/>
      <family val="2"/>
    </font>
    <font>
      <sz val="8"/>
      <color rgb="FF000000"/>
      <name val="Krungthep"/>
      <family val="2"/>
    </font>
    <font>
      <b/>
      <sz val="12"/>
      <color rgb="FFFF6E23"/>
      <name val="Krungthep"/>
      <family val="2"/>
    </font>
    <font>
      <sz val="12"/>
      <color rgb="FFFF0000"/>
      <name val="Calibri"/>
      <family val="2"/>
      <scheme val="minor"/>
    </font>
    <font>
      <sz val="8"/>
      <color theme="1"/>
      <name val="Noteworthy Bold"/>
      <family val="2"/>
    </font>
    <font>
      <sz val="8"/>
      <color rgb="FF000000"/>
      <name val="Noteworthy Bold"/>
      <family val="2"/>
    </font>
    <font>
      <sz val="8"/>
      <name val="Krungthep"/>
      <family val="2"/>
    </font>
    <font>
      <sz val="8"/>
      <name val="Monaco"/>
      <family val="2"/>
    </font>
    <font>
      <b/>
      <vertAlign val="superscript"/>
      <sz val="12"/>
      <color rgb="FFFF6E23"/>
      <name val="Arial Bold"/>
      <family val="2"/>
    </font>
    <font>
      <b/>
      <sz val="18"/>
      <color rgb="FFFF6E23"/>
      <name val="Arial"/>
      <family val="2"/>
    </font>
    <font>
      <sz val="12"/>
      <name val="Calibri"/>
      <family val="2"/>
      <scheme val="minor"/>
    </font>
    <font>
      <strike/>
      <sz val="8"/>
      <color theme="1"/>
      <name val="Arial"/>
      <family val="2"/>
    </font>
    <font>
      <sz val="12"/>
      <color rgb="FF00B050"/>
      <name val="Calibri"/>
      <family val="2"/>
      <scheme val="minor"/>
    </font>
    <font>
      <strike/>
      <sz val="12"/>
      <color theme="1"/>
      <name val="Calibri"/>
      <family val="2"/>
      <scheme val="minor"/>
    </font>
    <font>
      <sz val="9"/>
      <color rgb="FF000000"/>
      <name val="Arial"/>
      <family val="2"/>
    </font>
    <font>
      <sz val="9"/>
      <color indexed="10"/>
      <name val="Arial"/>
      <family val="2"/>
    </font>
    <font>
      <vertAlign val="superscript"/>
      <sz val="9"/>
      <color indexed="10"/>
      <name val="Arial"/>
      <family val="2"/>
    </font>
    <font>
      <sz val="8"/>
      <name val="Noteworthy Light"/>
      <family val="2"/>
    </font>
    <font>
      <b/>
      <sz val="9"/>
      <color rgb="FF542C73"/>
      <name val="Arial"/>
      <family val="2"/>
    </font>
    <font>
      <sz val="9"/>
      <color rgb="FF542C73"/>
      <name val="Arial"/>
      <family val="2"/>
    </font>
    <font>
      <b/>
      <sz val="9"/>
      <color rgb="FF542C73"/>
      <name val="Arial Bold"/>
      <family val="2"/>
    </font>
    <font>
      <sz val="10"/>
      <color theme="1"/>
      <name val="Krungthep"/>
      <family val="2"/>
    </font>
    <font>
      <b/>
      <vertAlign val="superscript"/>
      <sz val="9"/>
      <color rgb="FF542C73"/>
      <name val="Arial"/>
      <family val="2"/>
    </font>
    <font>
      <b/>
      <vertAlign val="superscript"/>
      <sz val="10"/>
      <color rgb="FF542C73"/>
      <name val="Arial"/>
      <family val="2"/>
    </font>
    <font>
      <b/>
      <sz val="10"/>
      <name val="Arial"/>
      <family val="2"/>
    </font>
    <font>
      <sz val="9"/>
      <color theme="1"/>
      <name val="Calibri"/>
      <family val="2"/>
      <scheme val="minor"/>
    </font>
    <font>
      <sz val="9"/>
      <name val="Calibri"/>
      <family val="2"/>
      <scheme val="minor"/>
    </font>
    <font>
      <vertAlign val="superscript"/>
      <sz val="9"/>
      <name val="Calibri"/>
      <family val="2"/>
      <scheme val="minor"/>
    </font>
    <font>
      <sz val="9"/>
      <color rgb="FFFF0000"/>
      <name val="Calibri"/>
      <family val="2"/>
      <scheme val="minor"/>
    </font>
    <font>
      <sz val="8"/>
      <name val="Calibri"/>
      <family val="2"/>
      <scheme val="minor"/>
    </font>
    <font>
      <b/>
      <sz val="8"/>
      <color rgb="FF542C73"/>
      <name val="Arial"/>
      <family val="2"/>
    </font>
    <font>
      <sz val="8"/>
      <color indexed="8"/>
      <name val="Krungthep"/>
      <family val="2"/>
    </font>
    <font>
      <sz val="8"/>
      <color indexed="8"/>
      <name val="Arial"/>
      <family val="2"/>
    </font>
    <font>
      <b/>
      <vertAlign val="superscript"/>
      <sz val="12"/>
      <color indexed="53"/>
      <name val="Arial"/>
      <family val="2"/>
    </font>
    <font>
      <b/>
      <sz val="9"/>
      <color rgb="FF00976D"/>
      <name val="Arial"/>
      <family val="2"/>
    </font>
    <font>
      <i/>
      <sz val="8"/>
      <color theme="1"/>
      <name val="Arial"/>
      <family val="2"/>
    </font>
    <font>
      <sz val="9"/>
      <color rgb="FFFF0000"/>
      <name val="Arial"/>
      <family val="2"/>
    </font>
    <font>
      <vertAlign val="superscript"/>
      <sz val="9"/>
      <color theme="1"/>
      <name val="Arial"/>
      <family val="2"/>
    </font>
    <font>
      <vertAlign val="superscript"/>
      <sz val="9"/>
      <color rgb="FFFF0000"/>
      <name val="Arial"/>
      <family val="2"/>
    </font>
    <font>
      <sz val="9"/>
      <color theme="1"/>
      <name val="Monaco"/>
      <family val="2"/>
    </font>
    <font>
      <b/>
      <sz val="10"/>
      <color rgb="FF00976D"/>
      <name val="HelveticaNeueLT Com 23 UltLtEx"/>
      <family val="2"/>
    </font>
    <font>
      <b/>
      <vertAlign val="superscript"/>
      <sz val="10"/>
      <color rgb="FF00976D"/>
      <name val="Arial"/>
      <family val="2"/>
    </font>
    <font>
      <b/>
      <sz val="12"/>
      <color rgb="FFFF0000"/>
      <name val="Calibri"/>
      <family val="2"/>
      <scheme val="minor"/>
    </font>
    <font>
      <sz val="10"/>
      <color rgb="FF00976D"/>
      <name val="Arial"/>
      <family val="2"/>
    </font>
    <font>
      <b/>
      <sz val="9"/>
      <color rgb="FF00976D"/>
      <name val="Arial Bold"/>
      <family val="2"/>
    </font>
    <font>
      <vertAlign val="superscript"/>
      <sz val="10"/>
      <color theme="1"/>
      <name val="Arial"/>
      <family val="2"/>
    </font>
    <font>
      <sz val="12"/>
      <color theme="1"/>
      <name val="Calibri (Corps)"/>
    </font>
    <font>
      <i/>
      <sz val="10"/>
      <color theme="1"/>
      <name val="Arial"/>
      <family val="2"/>
    </font>
    <font>
      <sz val="12"/>
      <color theme="1"/>
      <name val="Arial"/>
      <family val="2"/>
    </font>
    <font>
      <b/>
      <sz val="9"/>
      <color rgb="FF8C2365"/>
      <name val="Arial"/>
      <family val="2"/>
    </font>
    <font>
      <sz val="9"/>
      <name val="Noteworthy Bold"/>
      <family val="2"/>
    </font>
    <font>
      <i/>
      <sz val="10"/>
      <color rgb="FF8C2365"/>
      <name val="Menlo Regular"/>
      <family val="2"/>
    </font>
    <font>
      <sz val="10"/>
      <color rgb="FF8C2365"/>
      <name val="Maison Neue TRIAL Mono Italic"/>
      <family val="2"/>
    </font>
    <font>
      <sz val="10"/>
      <color rgb="FF8C2365"/>
      <name val="Arial Italic"/>
      <family val="2"/>
    </font>
    <font>
      <b/>
      <sz val="10"/>
      <color rgb="FFFF6E23"/>
      <name val="Lucida Sans Unicode"/>
      <family val="2"/>
    </font>
    <font>
      <b/>
      <sz val="10"/>
      <color rgb="FFFF6E23"/>
      <name val="Arial Bold"/>
    </font>
    <font>
      <sz val="8"/>
      <color rgb="FFFF0000"/>
      <name val="Arial"/>
      <family val="2"/>
    </font>
    <font>
      <b/>
      <sz val="16"/>
      <color rgb="FF00529E"/>
      <name val="Arial"/>
      <family val="2"/>
    </font>
    <font>
      <b/>
      <sz val="16"/>
      <color rgb="FF733E8D"/>
      <name val="Arial"/>
      <family val="2"/>
    </font>
    <font>
      <b/>
      <sz val="16"/>
      <color rgb="FF0076BD"/>
      <name val="Arial"/>
      <family val="2"/>
    </font>
    <font>
      <b/>
      <sz val="16"/>
      <color rgb="FF00A37F"/>
      <name val="Arial"/>
      <family val="2"/>
    </font>
    <font>
      <b/>
      <sz val="16"/>
      <color rgb="FFCF3087"/>
      <name val="Arial"/>
      <family val="2"/>
    </font>
    <font>
      <b/>
      <sz val="16"/>
      <color theme="0"/>
      <name val="Arial"/>
      <family val="2"/>
    </font>
    <font>
      <b/>
      <sz val="16"/>
      <color theme="0"/>
      <name val="Arial "/>
    </font>
    <font>
      <b/>
      <vertAlign val="superscript"/>
      <sz val="12"/>
      <color rgb="FFFF6E23"/>
      <name val="Arial Bold"/>
    </font>
  </fonts>
  <fills count="27">
    <fill>
      <patternFill patternType="none"/>
    </fill>
    <fill>
      <patternFill patternType="gray125"/>
    </fill>
    <fill>
      <patternFill patternType="solid">
        <fgColor theme="0" tint="-0.14996795556505021"/>
        <bgColor theme="0"/>
      </patternFill>
    </fill>
    <fill>
      <patternFill patternType="solid">
        <fgColor theme="0"/>
        <bgColor rgb="FFC0C0C0"/>
      </patternFill>
    </fill>
    <fill>
      <patternFill patternType="solid">
        <fgColor rgb="FFD9D9D9"/>
        <bgColor rgb="FFC0C0C0"/>
      </patternFill>
    </fill>
    <fill>
      <patternFill patternType="solid">
        <fgColor rgb="FFFFFFFF"/>
        <bgColor rgb="FFC0C0C0"/>
      </patternFill>
    </fill>
    <fill>
      <patternFill patternType="solid">
        <fgColor theme="0"/>
        <bgColor indexed="64"/>
      </patternFill>
    </fill>
    <fill>
      <patternFill patternType="solid">
        <fgColor rgb="FFD6DFED"/>
        <bgColor indexed="64"/>
      </patternFill>
    </fill>
    <fill>
      <patternFill patternType="solid">
        <fgColor indexed="40"/>
        <bgColor indexed="49"/>
      </patternFill>
    </fill>
    <fill>
      <patternFill patternType="solid">
        <fgColor theme="0" tint="-0.14999847407452621"/>
        <bgColor indexed="64"/>
      </patternFill>
    </fill>
    <fill>
      <patternFill patternType="solid">
        <fgColor theme="0" tint="-0.14999847407452621"/>
        <bgColor rgb="FFC0C0C0"/>
      </patternFill>
    </fill>
    <fill>
      <patternFill patternType="solid">
        <fgColor rgb="FFD9D9D9"/>
        <bgColor rgb="FF000000"/>
      </patternFill>
    </fill>
    <fill>
      <patternFill patternType="solid">
        <fgColor indexed="9"/>
        <bgColor indexed="8"/>
      </patternFill>
    </fill>
    <fill>
      <patternFill patternType="solid">
        <fgColor theme="3" tint="0.59999389629810485"/>
        <bgColor indexed="64"/>
      </patternFill>
    </fill>
    <fill>
      <patternFill patternType="solid">
        <fgColor theme="0" tint="-0.249977111117893"/>
        <bgColor indexed="64"/>
      </patternFill>
    </fill>
    <fill>
      <patternFill patternType="solid">
        <fgColor theme="0" tint="-0.249977111117893"/>
        <bgColor theme="0"/>
      </patternFill>
    </fill>
    <fill>
      <patternFill patternType="solid">
        <fgColor rgb="FFD4C4D6"/>
      </patternFill>
    </fill>
    <fill>
      <patternFill patternType="solid">
        <fgColor rgb="FFD4C4D6"/>
        <bgColor indexed="64"/>
      </patternFill>
    </fill>
    <fill>
      <patternFill patternType="solid">
        <fgColor rgb="FFD4C4D6"/>
        <bgColor rgb="FFC0C0C0"/>
      </patternFill>
    </fill>
    <fill>
      <patternFill patternType="solid">
        <fgColor rgb="FFD9D9D9"/>
        <bgColor indexed="64"/>
      </patternFill>
    </fill>
    <fill>
      <patternFill patternType="solid">
        <fgColor rgb="FFCDE8D9"/>
      </patternFill>
    </fill>
    <fill>
      <patternFill patternType="solid">
        <fgColor rgb="FFCDE8D9"/>
        <bgColor rgb="FF000000"/>
      </patternFill>
    </fill>
    <fill>
      <patternFill patternType="solid">
        <fgColor rgb="FFD4C4D2"/>
      </patternFill>
    </fill>
    <fill>
      <patternFill patternType="solid">
        <fgColor rgb="FF00529E"/>
        <bgColor indexed="64"/>
      </patternFill>
    </fill>
    <fill>
      <patternFill patternType="solid">
        <fgColor rgb="FF00A37F"/>
        <bgColor indexed="64"/>
      </patternFill>
    </fill>
    <fill>
      <patternFill patternType="solid">
        <fgColor rgb="FFCF3087"/>
        <bgColor indexed="64"/>
      </patternFill>
    </fill>
    <fill>
      <patternFill patternType="solid">
        <fgColor rgb="FF733E8D"/>
        <bgColor indexed="64"/>
      </patternFill>
    </fill>
  </fills>
  <borders count="174">
    <border>
      <left/>
      <right/>
      <top/>
      <bottom/>
      <diagonal/>
    </border>
    <border>
      <left/>
      <right/>
      <top/>
      <bottom style="thin">
        <color rgb="FF264D93"/>
      </bottom>
      <diagonal/>
    </border>
    <border>
      <left/>
      <right style="thick">
        <color theme="0"/>
      </right>
      <top/>
      <bottom style="thin">
        <color rgb="FF264D93"/>
      </bottom>
      <diagonal/>
    </border>
    <border>
      <left/>
      <right/>
      <top/>
      <bottom style="thin">
        <color theme="1"/>
      </bottom>
      <diagonal/>
    </border>
    <border>
      <left/>
      <right/>
      <top style="thin">
        <color rgb="FF264D93"/>
      </top>
      <bottom style="thin">
        <color rgb="FFEBEBEB"/>
      </bottom>
      <diagonal/>
    </border>
    <border>
      <left style="thick">
        <color theme="0"/>
      </left>
      <right style="thick">
        <color theme="0"/>
      </right>
      <top style="thin">
        <color rgb="FF264D93"/>
      </top>
      <bottom style="thin">
        <color rgb="FFEBEBEB"/>
      </bottom>
      <diagonal/>
    </border>
    <border>
      <left/>
      <right/>
      <top/>
      <bottom style="thin">
        <color rgb="FFE6E6E6"/>
      </bottom>
      <diagonal/>
    </border>
    <border>
      <left/>
      <right/>
      <top style="thin">
        <color rgb="FFEBEBEB"/>
      </top>
      <bottom style="thin">
        <color rgb="FFEBEBEB"/>
      </bottom>
      <diagonal/>
    </border>
    <border>
      <left style="thick">
        <color theme="0"/>
      </left>
      <right style="thick">
        <color theme="0"/>
      </right>
      <top style="thin">
        <color rgb="FFEBEBEB"/>
      </top>
      <bottom style="thin">
        <color rgb="FFEBEBEB"/>
      </bottom>
      <diagonal/>
    </border>
    <border>
      <left/>
      <right/>
      <top/>
      <bottom style="thin">
        <color rgb="FF3876AF"/>
      </bottom>
      <diagonal/>
    </border>
    <border>
      <left style="thick">
        <color theme="0"/>
      </left>
      <right style="thick">
        <color theme="0"/>
      </right>
      <top/>
      <bottom style="thin">
        <color rgb="FF3876AF"/>
      </bottom>
      <diagonal/>
    </border>
    <border>
      <left/>
      <right/>
      <top style="thin">
        <color rgb="FFEBEBEB"/>
      </top>
      <bottom style="thin">
        <color rgb="FFE6E6E6"/>
      </bottom>
      <diagonal/>
    </border>
    <border>
      <left style="thick">
        <color theme="0"/>
      </left>
      <right style="thick">
        <color theme="0"/>
      </right>
      <top style="thin">
        <color rgb="FFEBEBEB"/>
      </top>
      <bottom style="thin">
        <color rgb="FFE6E6E6"/>
      </bottom>
      <diagonal/>
    </border>
    <border>
      <left/>
      <right/>
      <top style="thin">
        <color rgb="FFE6E6E6"/>
      </top>
      <bottom style="thin">
        <color rgb="FF3876AF"/>
      </bottom>
      <diagonal/>
    </border>
    <border>
      <left style="thick">
        <color theme="0"/>
      </left>
      <right style="thick">
        <color theme="0"/>
      </right>
      <top style="thin">
        <color rgb="FFE6E6E6"/>
      </top>
      <bottom style="thin">
        <color rgb="FF3876AF"/>
      </bottom>
      <diagonal/>
    </border>
    <border>
      <left/>
      <right style="thick">
        <color theme="0"/>
      </right>
      <top style="thin">
        <color rgb="FF264D93"/>
      </top>
      <bottom style="thin">
        <color rgb="FFE6E6E6"/>
      </bottom>
      <diagonal/>
    </border>
    <border>
      <left style="thick">
        <color theme="0"/>
      </left>
      <right style="thick">
        <color theme="0"/>
      </right>
      <top style="thin">
        <color rgb="FF264D93"/>
      </top>
      <bottom style="thin">
        <color rgb="FFE6E6E6"/>
      </bottom>
      <diagonal/>
    </border>
    <border>
      <left/>
      <right style="thick">
        <color theme="0"/>
      </right>
      <top/>
      <bottom style="thin">
        <color rgb="FFE6E6E6"/>
      </bottom>
      <diagonal/>
    </border>
    <border>
      <left style="thick">
        <color theme="0"/>
      </left>
      <right style="thick">
        <color theme="0"/>
      </right>
      <top/>
      <bottom style="thin">
        <color rgb="FFE6E6E6"/>
      </bottom>
      <diagonal/>
    </border>
    <border>
      <left/>
      <right/>
      <top style="thin">
        <color rgb="FFEFEFEF"/>
      </top>
      <bottom style="thin">
        <color rgb="FF3876AF"/>
      </bottom>
      <diagonal/>
    </border>
    <border>
      <left/>
      <right/>
      <top style="thin">
        <color rgb="FF264D93"/>
      </top>
      <bottom style="thin">
        <color rgb="FF264D93"/>
      </bottom>
      <diagonal/>
    </border>
    <border>
      <left/>
      <right/>
      <top style="thin">
        <color rgb="FFE6E6E6"/>
      </top>
      <bottom style="thin">
        <color rgb="FF264D93"/>
      </bottom>
      <diagonal/>
    </border>
    <border>
      <left/>
      <right/>
      <top style="thin">
        <color rgb="FF264D93"/>
      </top>
      <bottom style="thin">
        <color rgb="FFEFEFEF"/>
      </bottom>
      <diagonal/>
    </border>
    <border>
      <left/>
      <right style="thick">
        <color theme="0"/>
      </right>
      <top style="thin">
        <color rgb="FF264D93"/>
      </top>
      <bottom style="thin">
        <color rgb="FFEFEFEF"/>
      </bottom>
      <diagonal/>
    </border>
    <border>
      <left style="thick">
        <color theme="0"/>
      </left>
      <right style="thick">
        <color theme="0"/>
      </right>
      <top style="thin">
        <color rgb="FF264D93"/>
      </top>
      <bottom style="thin">
        <color rgb="FFEFEFEF"/>
      </bottom>
      <diagonal/>
    </border>
    <border>
      <left/>
      <right/>
      <top style="thin">
        <color rgb="FFEFEFEF"/>
      </top>
      <bottom style="thin">
        <color rgb="FFEFEFEF"/>
      </bottom>
      <diagonal/>
    </border>
    <border>
      <left/>
      <right style="thick">
        <color theme="0"/>
      </right>
      <top style="thin">
        <color rgb="FFEFEFEF"/>
      </top>
      <bottom style="thin">
        <color rgb="FFEFEFEF"/>
      </bottom>
      <diagonal/>
    </border>
    <border>
      <left/>
      <right style="thick">
        <color theme="0"/>
      </right>
      <top style="thin">
        <color rgb="FFEFEFEF"/>
      </top>
      <bottom style="thin">
        <color rgb="FF3876AF"/>
      </bottom>
      <diagonal/>
    </border>
    <border>
      <left style="thick">
        <color theme="0"/>
      </left>
      <right/>
      <top style="thin">
        <color rgb="FF264D93"/>
      </top>
      <bottom style="thin">
        <color rgb="FFE6E6E6"/>
      </bottom>
      <diagonal/>
    </border>
    <border>
      <left/>
      <right style="thick">
        <color theme="0"/>
      </right>
      <top/>
      <bottom/>
      <diagonal/>
    </border>
    <border>
      <left style="thick">
        <color theme="0"/>
      </left>
      <right style="thick">
        <color theme="0"/>
      </right>
      <top/>
      <bottom/>
      <diagonal/>
    </border>
    <border>
      <left/>
      <right/>
      <top style="thin">
        <color rgb="FFE6E6E6"/>
      </top>
      <bottom style="thin">
        <color auto="1"/>
      </bottom>
      <diagonal/>
    </border>
    <border>
      <left style="thick">
        <color theme="0"/>
      </left>
      <right style="thick">
        <color theme="0"/>
      </right>
      <top style="thin">
        <color rgb="FFE6E6E6"/>
      </top>
      <bottom style="thin">
        <color auto="1"/>
      </bottom>
      <diagonal/>
    </border>
    <border>
      <left style="thick">
        <color theme="0"/>
      </left>
      <right style="thick">
        <color theme="0"/>
      </right>
      <top/>
      <bottom style="thin">
        <color theme="1"/>
      </bottom>
      <diagonal/>
    </border>
    <border>
      <left/>
      <right style="thick">
        <color theme="0"/>
      </right>
      <top style="thin">
        <color rgb="FF264D93"/>
      </top>
      <bottom style="thin">
        <color rgb="FF264D93"/>
      </bottom>
      <diagonal/>
    </border>
    <border>
      <left style="thick">
        <color theme="0"/>
      </left>
      <right style="thick">
        <color theme="0"/>
      </right>
      <top style="thin">
        <color rgb="FF264D93"/>
      </top>
      <bottom style="thin">
        <color rgb="FF264D93"/>
      </bottom>
      <diagonal/>
    </border>
    <border>
      <left/>
      <right/>
      <top style="thin">
        <color rgb="FF3876AF"/>
      </top>
      <bottom style="thin">
        <color rgb="FF264D93"/>
      </bottom>
      <diagonal/>
    </border>
    <border>
      <left/>
      <right style="thick">
        <color theme="0"/>
      </right>
      <top style="thin">
        <color rgb="FF3876AF"/>
      </top>
      <bottom style="thin">
        <color rgb="FF264D93"/>
      </bottom>
      <diagonal/>
    </border>
    <border>
      <left style="thick">
        <color theme="0"/>
      </left>
      <right style="thick">
        <color theme="0"/>
      </right>
      <top style="thin">
        <color rgb="FF3876AF"/>
      </top>
      <bottom style="thin">
        <color rgb="FF264D93"/>
      </bottom>
      <diagonal/>
    </border>
    <border>
      <left style="thick">
        <color theme="0"/>
      </left>
      <right style="thick">
        <color theme="0"/>
      </right>
      <top/>
      <bottom style="thin">
        <color rgb="FF264D93"/>
      </bottom>
      <diagonal/>
    </border>
    <border>
      <left/>
      <right style="thick">
        <color theme="0"/>
      </right>
      <top style="thin">
        <color rgb="FFE6E6E6"/>
      </top>
      <bottom style="thin">
        <color rgb="FFE6E6E6"/>
      </bottom>
      <diagonal/>
    </border>
    <border>
      <left style="thick">
        <color theme="0"/>
      </left>
      <right style="thick">
        <color theme="0"/>
      </right>
      <top style="thin">
        <color rgb="FFE6E6E6"/>
      </top>
      <bottom style="thin">
        <color rgb="FFE6E6E6"/>
      </bottom>
      <diagonal/>
    </border>
    <border>
      <left style="thick">
        <color theme="0"/>
      </left>
      <right/>
      <top style="thin">
        <color auto="1"/>
      </top>
      <bottom style="thin">
        <color auto="1"/>
      </bottom>
      <diagonal/>
    </border>
    <border>
      <left/>
      <right style="thick">
        <color theme="0"/>
      </right>
      <top style="thin">
        <color rgb="FFE6E6E6"/>
      </top>
      <bottom/>
      <diagonal/>
    </border>
    <border>
      <left style="thick">
        <color theme="0"/>
      </left>
      <right style="thick">
        <color theme="0"/>
      </right>
      <top style="thin">
        <color rgb="FF264D93"/>
      </top>
      <bottom style="thin">
        <color theme="1"/>
      </bottom>
      <diagonal/>
    </border>
    <border>
      <left/>
      <right/>
      <top style="thin">
        <color auto="1"/>
      </top>
      <bottom style="thin">
        <color rgb="FFEBEBEB"/>
      </bottom>
      <diagonal/>
    </border>
    <border>
      <left style="thick">
        <color theme="0"/>
      </left>
      <right style="thick">
        <color theme="0"/>
      </right>
      <top style="thin">
        <color auto="1"/>
      </top>
      <bottom style="thin">
        <color rgb="FFEBEBEB"/>
      </bottom>
      <diagonal/>
    </border>
    <border>
      <left/>
      <right/>
      <top style="thin">
        <color rgb="FF3876AF"/>
      </top>
      <bottom style="thin">
        <color rgb="FF3876AF"/>
      </bottom>
      <diagonal/>
    </border>
    <border>
      <left/>
      <right style="thick">
        <color theme="0"/>
      </right>
      <top style="thin">
        <color rgb="FF3876AF"/>
      </top>
      <bottom style="thin">
        <color rgb="FF3876AF"/>
      </bottom>
      <diagonal/>
    </border>
    <border>
      <left style="thick">
        <color theme="0"/>
      </left>
      <right style="thick">
        <color theme="0"/>
      </right>
      <top style="thin">
        <color rgb="FF3876AF"/>
      </top>
      <bottom style="thin">
        <color rgb="FF3876AF"/>
      </bottom>
      <diagonal/>
    </border>
    <border>
      <left/>
      <right/>
      <top/>
      <bottom style="thin">
        <color indexed="40"/>
      </bottom>
      <diagonal/>
    </border>
    <border>
      <left/>
      <right/>
      <top/>
      <bottom style="thin">
        <color theme="2"/>
      </bottom>
      <diagonal/>
    </border>
    <border>
      <left/>
      <right/>
      <top style="thin">
        <color indexed="40"/>
      </top>
      <bottom style="thin">
        <color indexed="40"/>
      </bottom>
      <diagonal/>
    </border>
    <border>
      <left/>
      <right style="thick">
        <color theme="0"/>
      </right>
      <top style="thin">
        <color rgb="FFE6E6E6"/>
      </top>
      <bottom style="thin">
        <color rgb="FF3876AF"/>
      </bottom>
      <diagonal/>
    </border>
    <border>
      <left/>
      <right/>
      <top style="thin">
        <color theme="0" tint="-0.14999847407452621"/>
      </top>
      <bottom style="thin">
        <color rgb="FF264D93"/>
      </bottom>
      <diagonal/>
    </border>
    <border>
      <left style="thick">
        <color theme="0"/>
      </left>
      <right style="thick">
        <color theme="0"/>
      </right>
      <top style="thin">
        <color theme="0" tint="-0.14999847407452621"/>
      </top>
      <bottom style="thin">
        <color rgb="FF264D93"/>
      </bottom>
      <diagonal/>
    </border>
    <border>
      <left style="thick">
        <color theme="0"/>
      </left>
      <right style="thick">
        <color theme="0"/>
      </right>
      <top style="thin">
        <color theme="1"/>
      </top>
      <bottom style="thin">
        <color theme="1"/>
      </bottom>
      <diagonal/>
    </border>
    <border>
      <left/>
      <right style="thick">
        <color theme="0"/>
      </right>
      <top style="thin">
        <color theme="1"/>
      </top>
      <bottom style="thin">
        <color theme="1"/>
      </bottom>
      <diagonal/>
    </border>
    <border>
      <left/>
      <right/>
      <top style="thin">
        <color rgb="FFE6E6E6"/>
      </top>
      <bottom/>
      <diagonal/>
    </border>
    <border>
      <left/>
      <right/>
      <top/>
      <bottom style="thin">
        <color rgb="FFEBEBEB"/>
      </bottom>
      <diagonal/>
    </border>
    <border>
      <left/>
      <right style="thick">
        <color rgb="FFFFFFFF"/>
      </right>
      <top/>
      <bottom style="thin">
        <color rgb="FFEBEBEB"/>
      </bottom>
      <diagonal/>
    </border>
    <border>
      <left/>
      <right style="thick">
        <color rgb="FFFFFFFF"/>
      </right>
      <top/>
      <bottom style="thin">
        <color rgb="FF3876AF"/>
      </bottom>
      <diagonal/>
    </border>
    <border>
      <left/>
      <right style="thick">
        <color rgb="FFFFFFFF"/>
      </right>
      <top/>
      <bottom style="thin">
        <color rgb="FFE6E6E6"/>
      </bottom>
      <diagonal/>
    </border>
    <border>
      <left/>
      <right style="thick">
        <color rgb="FFFFFFFF"/>
      </right>
      <top/>
      <bottom/>
      <diagonal/>
    </border>
    <border>
      <left/>
      <right style="thick">
        <color rgb="FFFFFFFF"/>
      </right>
      <top style="thin">
        <color rgb="FFE6E6E6"/>
      </top>
      <bottom/>
      <diagonal/>
    </border>
    <border>
      <left/>
      <right style="thick">
        <color rgb="FFFFFFFF"/>
      </right>
      <top style="thin">
        <color rgb="FFEBEBEB"/>
      </top>
      <bottom style="thin">
        <color rgb="FFEBEBEB"/>
      </bottom>
      <diagonal/>
    </border>
    <border>
      <left/>
      <right/>
      <top style="thin">
        <color rgb="FFE6E6E6"/>
      </top>
      <bottom style="thin">
        <color rgb="FFE6E6E6"/>
      </bottom>
      <diagonal/>
    </border>
    <border>
      <left/>
      <right/>
      <top style="thin">
        <color rgb="FFE6E6E6"/>
      </top>
      <bottom style="thin">
        <color theme="1"/>
      </bottom>
      <diagonal/>
    </border>
    <border>
      <left/>
      <right style="thick">
        <color theme="0"/>
      </right>
      <top style="thin">
        <color rgb="FFE6E6E6"/>
      </top>
      <bottom style="thin">
        <color theme="1"/>
      </bottom>
      <diagonal/>
    </border>
    <border>
      <left style="thick">
        <color theme="0"/>
      </left>
      <right style="thick">
        <color theme="0"/>
      </right>
      <top style="thin">
        <color rgb="FFE6E6E6"/>
      </top>
      <bottom style="thin">
        <color theme="1"/>
      </bottom>
      <diagonal/>
    </border>
    <border>
      <left/>
      <right style="thick">
        <color theme="0"/>
      </right>
      <top style="thin">
        <color theme="1"/>
      </top>
      <bottom style="thin">
        <color rgb="FFE6E6E6"/>
      </bottom>
      <diagonal/>
    </border>
    <border>
      <left/>
      <right/>
      <top/>
      <bottom style="thin">
        <color theme="4"/>
      </bottom>
      <diagonal/>
    </border>
    <border>
      <left/>
      <right style="thick">
        <color theme="0"/>
      </right>
      <top/>
      <bottom style="thin">
        <color rgb="FF3876AF"/>
      </bottom>
      <diagonal/>
    </border>
    <border>
      <left style="thick">
        <color theme="0"/>
      </left>
      <right style="thick">
        <color theme="0"/>
      </right>
      <top style="thin">
        <color theme="1"/>
      </top>
      <bottom style="thin">
        <color auto="1"/>
      </bottom>
      <diagonal/>
    </border>
    <border>
      <left/>
      <right/>
      <top/>
      <bottom style="double">
        <color rgb="FFFF8001"/>
      </bottom>
      <diagonal/>
    </border>
    <border>
      <left/>
      <right/>
      <top/>
      <bottom style="thin">
        <color rgb="FF8C2365"/>
      </bottom>
      <diagonal/>
    </border>
    <border>
      <left/>
      <right style="thick">
        <color theme="0"/>
      </right>
      <top/>
      <bottom style="thin">
        <color rgb="FF8C2365"/>
      </bottom>
      <diagonal/>
    </border>
    <border>
      <left/>
      <right/>
      <top/>
      <bottom style="thin">
        <color rgb="FF00976D"/>
      </bottom>
      <diagonal/>
    </border>
    <border>
      <left/>
      <right style="thick">
        <color theme="0"/>
      </right>
      <top/>
      <bottom style="thin">
        <color rgb="FF00976D"/>
      </bottom>
      <diagonal/>
    </border>
    <border>
      <left/>
      <right style="thick">
        <color theme="0"/>
      </right>
      <top style="thin">
        <color rgb="FFE6E6E6"/>
      </top>
      <bottom style="thin">
        <color rgb="FF542C73"/>
      </bottom>
      <diagonal/>
    </border>
    <border>
      <left style="thick">
        <color theme="0"/>
      </left>
      <right style="thick">
        <color theme="0"/>
      </right>
      <top style="thin">
        <color rgb="FFE6E6E6"/>
      </top>
      <bottom style="thin">
        <color rgb="FF542C73"/>
      </bottom>
      <diagonal/>
    </border>
    <border>
      <left/>
      <right/>
      <top style="thin">
        <color rgb="FFE6E6E6"/>
      </top>
      <bottom style="thin">
        <color rgb="FF542C73"/>
      </bottom>
      <diagonal/>
    </border>
    <border>
      <left/>
      <right/>
      <top/>
      <bottom style="thin">
        <color rgb="FF542C73"/>
      </bottom>
      <diagonal/>
    </border>
    <border>
      <left style="thick">
        <color theme="0"/>
      </left>
      <right style="thick">
        <color theme="0"/>
      </right>
      <top/>
      <bottom style="thin">
        <color rgb="FF542C73"/>
      </bottom>
      <diagonal/>
    </border>
    <border>
      <left/>
      <right style="thick">
        <color theme="0"/>
      </right>
      <top/>
      <bottom style="thin">
        <color rgb="FF542C73"/>
      </bottom>
      <diagonal/>
    </border>
    <border>
      <left/>
      <right/>
      <top/>
      <bottom style="thin">
        <color rgb="FFD6DFED"/>
      </bottom>
      <diagonal/>
    </border>
    <border>
      <left/>
      <right/>
      <top style="thin">
        <color theme="0" tint="-0.14999847407452621"/>
      </top>
      <bottom style="thin">
        <color auto="1"/>
      </bottom>
      <diagonal/>
    </border>
    <border>
      <left style="thick">
        <color theme="0"/>
      </left>
      <right style="thick">
        <color theme="0"/>
      </right>
      <top style="thin">
        <color theme="0" tint="-0.14999847407452621"/>
      </top>
      <bottom style="thin">
        <color auto="1"/>
      </bottom>
      <diagonal/>
    </border>
    <border>
      <left/>
      <right/>
      <top style="thin">
        <color rgb="FFEBEBEB"/>
      </top>
      <bottom/>
      <diagonal/>
    </border>
    <border>
      <left style="thick">
        <color theme="0"/>
      </left>
      <right style="thick">
        <color theme="0"/>
      </right>
      <top style="thin">
        <color rgb="FFEBEBEB"/>
      </top>
      <bottom/>
      <diagonal/>
    </border>
    <border>
      <left/>
      <right/>
      <top/>
      <bottom style="thin">
        <color auto="1"/>
      </bottom>
      <diagonal/>
    </border>
    <border>
      <left/>
      <right/>
      <top style="thin">
        <color auto="1"/>
      </top>
      <bottom style="thin">
        <color auto="1"/>
      </bottom>
      <diagonal/>
    </border>
    <border>
      <left/>
      <right style="thick">
        <color theme="0"/>
      </right>
      <top style="thin">
        <color auto="1"/>
      </top>
      <bottom style="thin">
        <color auto="1"/>
      </bottom>
      <diagonal/>
    </border>
    <border>
      <left style="thick">
        <color theme="0"/>
      </left>
      <right style="thick">
        <color theme="0"/>
      </right>
      <top style="thin">
        <color auto="1"/>
      </top>
      <bottom style="thin">
        <color auto="1"/>
      </bottom>
      <diagonal/>
    </border>
    <border>
      <left/>
      <right/>
      <top style="thin">
        <color auto="1"/>
      </top>
      <bottom style="thin">
        <color rgb="FFE6E6E6"/>
      </bottom>
      <diagonal/>
    </border>
    <border>
      <left style="thick">
        <color theme="0"/>
      </left>
      <right/>
      <top style="thin">
        <color auto="1"/>
      </top>
      <bottom style="thin">
        <color rgb="FFE6E6E6"/>
      </bottom>
      <diagonal/>
    </border>
    <border>
      <left/>
      <right style="thick">
        <color theme="0"/>
      </right>
      <top style="thin">
        <color auto="1"/>
      </top>
      <bottom style="thin">
        <color rgb="FFE6E6E6"/>
      </bottom>
      <diagonal/>
    </border>
    <border>
      <left style="thick">
        <color theme="0"/>
      </left>
      <right style="thick">
        <color theme="0"/>
      </right>
      <top style="thin">
        <color auto="1"/>
      </top>
      <bottom style="thin">
        <color rgb="FFE6E6E6"/>
      </bottom>
      <diagonal/>
    </border>
    <border>
      <left style="thick">
        <color theme="0"/>
      </left>
      <right style="thick">
        <color theme="0"/>
      </right>
      <top/>
      <bottom style="thin">
        <color auto="1"/>
      </bottom>
      <diagonal/>
    </border>
    <border>
      <left style="thick">
        <color theme="0"/>
      </left>
      <right style="thick">
        <color theme="0"/>
      </right>
      <top style="thin">
        <color auto="1"/>
      </top>
      <bottom style="thin">
        <color theme="0" tint="-4.9989318521683403E-2"/>
      </bottom>
      <diagonal/>
    </border>
    <border>
      <left/>
      <right style="thick">
        <color rgb="FFFFFFFF"/>
      </right>
      <top style="thin">
        <color auto="1"/>
      </top>
      <bottom style="thin">
        <color rgb="FFEBEBEB"/>
      </bottom>
      <diagonal/>
    </border>
    <border>
      <left/>
      <right style="thick">
        <color theme="0"/>
      </right>
      <top style="thin">
        <color auto="1"/>
      </top>
      <bottom/>
      <diagonal/>
    </border>
    <border>
      <left/>
      <right style="thick">
        <color theme="0"/>
      </right>
      <top style="thin">
        <color auto="1"/>
      </top>
      <bottom style="thin">
        <color rgb="FFEBEBEB"/>
      </bottom>
      <diagonal/>
    </border>
    <border>
      <left/>
      <right/>
      <top style="thin">
        <color auto="1"/>
      </top>
      <bottom style="thin">
        <color theme="0" tint="-4.9989318521683403E-2"/>
      </bottom>
      <diagonal/>
    </border>
    <border>
      <left/>
      <right style="thin">
        <color theme="0"/>
      </right>
      <top style="thin">
        <color theme="0"/>
      </top>
      <bottom style="thin">
        <color rgb="FF264D93"/>
      </bottom>
      <diagonal/>
    </border>
    <border>
      <left style="thick">
        <color theme="0"/>
      </left>
      <right style="thick">
        <color theme="0"/>
      </right>
      <top style="thin">
        <color rgb="FF542C73"/>
      </top>
      <bottom style="thin">
        <color rgb="FF542C73"/>
      </bottom>
      <diagonal/>
    </border>
    <border>
      <left/>
      <right style="thick">
        <color theme="0"/>
      </right>
      <top style="thin">
        <color rgb="FF542C73"/>
      </top>
      <bottom style="thin">
        <color rgb="FF542C73"/>
      </bottom>
      <diagonal/>
    </border>
    <border>
      <left/>
      <right/>
      <top style="thin">
        <color rgb="FF542C73"/>
      </top>
      <bottom style="thin">
        <color rgb="FF542C73"/>
      </bottom>
      <diagonal/>
    </border>
    <border>
      <left style="thick">
        <color theme="0"/>
      </left>
      <right style="thick">
        <color theme="0"/>
      </right>
      <top style="thin">
        <color rgb="FF542C73"/>
      </top>
      <bottom style="thin">
        <color rgb="FFE6E6E6"/>
      </bottom>
      <diagonal/>
    </border>
    <border>
      <left/>
      <right style="thick">
        <color theme="0"/>
      </right>
      <top style="thin">
        <color rgb="FF542C73"/>
      </top>
      <bottom style="thin">
        <color rgb="FFE6E6E6"/>
      </bottom>
      <diagonal/>
    </border>
    <border>
      <left/>
      <right style="thin">
        <color theme="0"/>
      </right>
      <top/>
      <bottom style="thin">
        <color rgb="FF542C73"/>
      </bottom>
      <diagonal/>
    </border>
    <border>
      <left style="thick">
        <color theme="0"/>
      </left>
      <right style="thick">
        <color theme="0"/>
      </right>
      <top style="thin">
        <color auto="1"/>
      </top>
      <bottom style="thin">
        <color rgb="FF542C73"/>
      </bottom>
      <diagonal/>
    </border>
    <border>
      <left/>
      <right style="thick">
        <color theme="0"/>
      </right>
      <top style="thin">
        <color auto="1"/>
      </top>
      <bottom style="thin">
        <color rgb="FF542C73"/>
      </bottom>
      <diagonal/>
    </border>
    <border>
      <left/>
      <right/>
      <top style="thin">
        <color auto="1"/>
      </top>
      <bottom style="thin">
        <color rgb="FF542C73"/>
      </bottom>
      <diagonal/>
    </border>
    <border>
      <left style="thick">
        <color theme="0"/>
      </left>
      <right style="thick">
        <color theme="0"/>
      </right>
      <top style="thin">
        <color rgb="FF542C73"/>
      </top>
      <bottom style="thin">
        <color theme="0" tint="-0.14996795556505021"/>
      </bottom>
      <diagonal/>
    </border>
    <border>
      <left style="thick">
        <color theme="0"/>
      </left>
      <right style="thick">
        <color theme="0"/>
      </right>
      <top style="thin">
        <color rgb="FF542C73"/>
      </top>
      <bottom style="thin">
        <color theme="1"/>
      </bottom>
      <diagonal/>
    </border>
    <border>
      <left/>
      <right style="thick">
        <color theme="0"/>
      </right>
      <top style="thin">
        <color rgb="FF542C73"/>
      </top>
      <bottom style="thin">
        <color auto="1"/>
      </bottom>
      <diagonal/>
    </border>
    <border>
      <left/>
      <right style="thick">
        <color theme="0"/>
      </right>
      <top/>
      <bottom style="thin">
        <color theme="1"/>
      </bottom>
      <diagonal/>
    </border>
    <border>
      <left/>
      <right style="thick">
        <color theme="0"/>
      </right>
      <top style="thin">
        <color rgb="FF542C73"/>
      </top>
      <bottom style="thin">
        <color rgb="FFEBEBEB"/>
      </bottom>
      <diagonal/>
    </border>
    <border>
      <left/>
      <right/>
      <top style="thin">
        <color rgb="FF542C73"/>
      </top>
      <bottom style="thin">
        <color rgb="FFEBEBEB"/>
      </bottom>
      <diagonal/>
    </border>
    <border>
      <left style="thick">
        <color theme="0"/>
      </left>
      <right/>
      <top/>
      <bottom style="thin">
        <color rgb="FF542C73"/>
      </bottom>
      <diagonal/>
    </border>
    <border>
      <left/>
      <right style="thick">
        <color theme="0"/>
      </right>
      <top/>
      <bottom style="thin">
        <color auto="1"/>
      </bottom>
      <diagonal/>
    </border>
    <border>
      <left style="thick">
        <color theme="0"/>
      </left>
      <right style="thick">
        <color theme="0"/>
      </right>
      <top style="thin">
        <color rgb="FFE6E6E6"/>
      </top>
      <bottom/>
      <diagonal/>
    </border>
    <border>
      <left style="thick">
        <color theme="0"/>
      </left>
      <right/>
      <top/>
      <bottom style="thin">
        <color theme="1"/>
      </bottom>
      <diagonal/>
    </border>
    <border>
      <left/>
      <right/>
      <top style="thin">
        <color theme="1"/>
      </top>
      <bottom style="thin">
        <color auto="1"/>
      </bottom>
      <diagonal/>
    </border>
    <border>
      <left/>
      <right style="thick">
        <color theme="0"/>
      </right>
      <top style="thin">
        <color theme="1"/>
      </top>
      <bottom style="thin">
        <color auto="1"/>
      </bottom>
      <diagonal/>
    </border>
    <border>
      <left style="thick">
        <color theme="0"/>
      </left>
      <right/>
      <top/>
      <bottom/>
      <diagonal/>
    </border>
    <border>
      <left style="thick">
        <color theme="0"/>
      </left>
      <right/>
      <top style="thin">
        <color rgb="FF542C73"/>
      </top>
      <bottom style="thin">
        <color rgb="FF542C73"/>
      </bottom>
      <diagonal/>
    </border>
    <border>
      <left style="thick">
        <color theme="0"/>
      </left>
      <right/>
      <top/>
      <bottom style="thin">
        <color rgb="FFE6E6E6"/>
      </bottom>
      <diagonal/>
    </border>
    <border>
      <left style="thick">
        <color theme="0"/>
      </left>
      <right/>
      <top style="thin">
        <color rgb="FFE6E6E6"/>
      </top>
      <bottom style="thin">
        <color auto="1"/>
      </bottom>
      <diagonal/>
    </border>
    <border>
      <left style="thick">
        <color theme="0"/>
      </left>
      <right/>
      <top style="thin">
        <color rgb="FF000000"/>
      </top>
      <bottom style="thin">
        <color rgb="FF542C73"/>
      </bottom>
      <diagonal/>
    </border>
    <border>
      <left style="thick">
        <color theme="0"/>
      </left>
      <right style="thick">
        <color theme="0"/>
      </right>
      <top style="thin">
        <color rgb="FF000000"/>
      </top>
      <bottom style="thin">
        <color rgb="FF542C73"/>
      </bottom>
      <diagonal/>
    </border>
    <border>
      <left/>
      <right style="thick">
        <color theme="0"/>
      </right>
      <top style="thin">
        <color rgb="FF000000"/>
      </top>
      <bottom style="thin">
        <color rgb="FF542C73"/>
      </bottom>
      <diagonal/>
    </border>
    <border>
      <left/>
      <right/>
      <top style="thin">
        <color rgb="FF000000"/>
      </top>
      <bottom style="thin">
        <color rgb="FF542C73"/>
      </bottom>
      <diagonal/>
    </border>
    <border>
      <left/>
      <right style="thick">
        <color theme="0"/>
      </right>
      <top style="thin">
        <color rgb="FFE6E6E6"/>
      </top>
      <bottom style="thin">
        <color auto="1"/>
      </bottom>
      <diagonal/>
    </border>
    <border>
      <left style="thick">
        <color theme="0"/>
      </left>
      <right/>
      <top style="thin">
        <color rgb="FFE6E6E6"/>
      </top>
      <bottom style="thin">
        <color rgb="FF542C73"/>
      </bottom>
      <diagonal/>
    </border>
    <border>
      <left style="thick">
        <color theme="0"/>
      </left>
      <right/>
      <top style="thin">
        <color theme="1"/>
      </top>
      <bottom style="thin">
        <color rgb="FF542C73"/>
      </bottom>
      <diagonal/>
    </border>
    <border>
      <left style="thick">
        <color theme="0"/>
      </left>
      <right style="thick">
        <color theme="0"/>
      </right>
      <top style="thin">
        <color theme="1"/>
      </top>
      <bottom style="thin">
        <color rgb="FF542C73"/>
      </bottom>
      <diagonal/>
    </border>
    <border>
      <left/>
      <right style="thick">
        <color theme="0"/>
      </right>
      <top style="thin">
        <color theme="1"/>
      </top>
      <bottom style="thin">
        <color rgb="FF542C73"/>
      </bottom>
      <diagonal/>
    </border>
    <border>
      <left style="thick">
        <color theme="0"/>
      </left>
      <right/>
      <top style="thin">
        <color theme="1"/>
      </top>
      <bottom style="thin">
        <color auto="1"/>
      </bottom>
      <diagonal/>
    </border>
    <border>
      <left style="thick">
        <color theme="0"/>
      </left>
      <right/>
      <top/>
      <bottom style="thin">
        <color auto="1"/>
      </bottom>
      <diagonal/>
    </border>
    <border>
      <left style="thick">
        <color theme="0"/>
      </left>
      <right/>
      <top style="thin">
        <color rgb="FF542C73"/>
      </top>
      <bottom style="thin">
        <color rgb="FFE6E6E6"/>
      </bottom>
      <diagonal/>
    </border>
    <border>
      <left style="thick">
        <color theme="0"/>
      </left>
      <right style="thick">
        <color theme="0"/>
      </right>
      <top style="thin">
        <color theme="1"/>
      </top>
      <bottom style="thin">
        <color rgb="FFE6E6E6"/>
      </bottom>
      <diagonal/>
    </border>
    <border>
      <left style="thick">
        <color theme="0"/>
      </left>
      <right style="thick">
        <color theme="0"/>
      </right>
      <top style="thin">
        <color auto="1"/>
      </top>
      <bottom style="thin">
        <color theme="1"/>
      </bottom>
      <diagonal/>
    </border>
    <border>
      <left/>
      <right style="thick">
        <color theme="0"/>
      </right>
      <top style="thin">
        <color auto="1"/>
      </top>
      <bottom style="thin">
        <color theme="1"/>
      </bottom>
      <diagonal/>
    </border>
    <border>
      <left/>
      <right/>
      <top style="thin">
        <color auto="1"/>
      </top>
      <bottom style="thin">
        <color theme="1"/>
      </bottom>
      <diagonal/>
    </border>
    <border>
      <left/>
      <right style="thick">
        <color theme="0"/>
      </right>
      <top style="thin">
        <color rgb="FF542C73"/>
      </top>
      <bottom style="thin">
        <color theme="1"/>
      </bottom>
      <diagonal/>
    </border>
    <border>
      <left/>
      <right/>
      <top style="thin">
        <color rgb="FF542C73"/>
      </top>
      <bottom/>
      <diagonal/>
    </border>
    <border>
      <left/>
      <right/>
      <top style="thin">
        <color auto="1"/>
      </top>
      <bottom/>
      <diagonal/>
    </border>
    <border>
      <left style="thick">
        <color theme="0"/>
      </left>
      <right style="thick">
        <color theme="0"/>
      </right>
      <top style="thin">
        <color auto="1"/>
      </top>
      <bottom/>
      <diagonal/>
    </border>
    <border>
      <left style="thick">
        <color theme="0"/>
      </left>
      <right style="thick">
        <color theme="0"/>
      </right>
      <top style="thin">
        <color rgb="FF542C73"/>
      </top>
      <bottom/>
      <diagonal/>
    </border>
    <border>
      <left/>
      <right style="thick">
        <color theme="0"/>
      </right>
      <top style="thin">
        <color rgb="FF542C73"/>
      </top>
      <bottom/>
      <diagonal/>
    </border>
    <border>
      <left/>
      <right style="thick">
        <color theme="0"/>
      </right>
      <top style="thin">
        <color rgb="FFE6E6E6"/>
      </top>
      <bottom style="thin">
        <color rgb="FF00976D"/>
      </bottom>
      <diagonal/>
    </border>
    <border>
      <left/>
      <right/>
      <top style="thin">
        <color rgb="FFE6E6E6"/>
      </top>
      <bottom style="thin">
        <color rgb="FF00976D"/>
      </bottom>
      <diagonal/>
    </border>
    <border>
      <left/>
      <right style="thick">
        <color theme="0"/>
      </right>
      <top style="thin">
        <color rgb="FF00976D"/>
      </top>
      <bottom style="thin">
        <color rgb="FFE6E6E6"/>
      </bottom>
      <diagonal/>
    </border>
    <border>
      <left/>
      <right style="thick">
        <color theme="0"/>
      </right>
      <top/>
      <bottom style="thin">
        <color rgb="FF00B050"/>
      </bottom>
      <diagonal/>
    </border>
    <border>
      <left style="thick">
        <color theme="0"/>
      </left>
      <right style="thick">
        <color theme="0"/>
      </right>
      <top/>
      <bottom style="thin">
        <color rgb="FF00976D"/>
      </bottom>
      <diagonal/>
    </border>
    <border>
      <left style="thick">
        <color theme="0"/>
      </left>
      <right/>
      <top style="thin">
        <color rgb="FF00976D"/>
      </top>
      <bottom style="thin">
        <color rgb="FFE6E6E6"/>
      </bottom>
      <diagonal/>
    </border>
    <border>
      <left style="thick">
        <color theme="0"/>
      </left>
      <right style="thick">
        <color theme="0"/>
      </right>
      <top style="thin">
        <color rgb="FF00976D"/>
      </top>
      <bottom style="thin">
        <color rgb="FFE6E6E6"/>
      </bottom>
      <diagonal/>
    </border>
    <border>
      <left/>
      <right/>
      <top style="thin">
        <color rgb="FF00976D"/>
      </top>
      <bottom style="thin">
        <color rgb="FF00976D"/>
      </bottom>
      <diagonal/>
    </border>
    <border>
      <left style="thick">
        <color theme="0"/>
      </left>
      <right style="thick">
        <color theme="0"/>
      </right>
      <top style="thin">
        <color rgb="FF00976D"/>
      </top>
      <bottom style="thin">
        <color rgb="FF00976D"/>
      </bottom>
      <diagonal/>
    </border>
    <border>
      <left/>
      <right style="thick">
        <color theme="0"/>
      </right>
      <top style="thin">
        <color rgb="FF00976D"/>
      </top>
      <bottom style="thin">
        <color rgb="FF00976D"/>
      </bottom>
      <diagonal/>
    </border>
    <border>
      <left/>
      <right style="thick">
        <color rgb="FFFFFFFF"/>
      </right>
      <top style="thin">
        <color rgb="FF00976D"/>
      </top>
      <bottom style="thin">
        <color rgb="FF00976D"/>
      </bottom>
      <diagonal/>
    </border>
    <border>
      <left style="thick">
        <color theme="0"/>
      </left>
      <right style="thick">
        <color theme="0"/>
      </right>
      <top style="thin">
        <color rgb="FFE6E6E6"/>
      </top>
      <bottom style="thin">
        <color rgb="FF00976D"/>
      </bottom>
      <diagonal/>
    </border>
    <border>
      <left style="thick">
        <color theme="0"/>
      </left>
      <right/>
      <top/>
      <bottom style="thin">
        <color rgb="FF8C2365"/>
      </bottom>
      <diagonal/>
    </border>
    <border>
      <left style="thick">
        <color theme="0"/>
      </left>
      <right style="thick">
        <color theme="0"/>
      </right>
      <top/>
      <bottom style="thin">
        <color rgb="FF8C2365"/>
      </bottom>
      <diagonal/>
    </border>
    <border>
      <left style="thick">
        <color theme="0"/>
      </left>
      <right/>
      <top style="thin">
        <color auto="1"/>
      </top>
      <bottom style="thin">
        <color theme="0" tint="-4.9989318521683403E-2"/>
      </bottom>
      <diagonal/>
    </border>
    <border>
      <left/>
      <right style="thick">
        <color theme="0"/>
      </right>
      <top style="thin">
        <color auto="1"/>
      </top>
      <bottom style="thin">
        <color theme="0" tint="-4.9989318521683403E-2"/>
      </bottom>
      <diagonal/>
    </border>
    <border>
      <left/>
      <right style="thick">
        <color theme="0"/>
      </right>
      <top style="thin">
        <color rgb="FF8C2365"/>
      </top>
      <bottom style="thin">
        <color rgb="FFE6E6E6"/>
      </bottom>
      <diagonal/>
    </border>
    <border>
      <left/>
      <right/>
      <top style="thin">
        <color rgb="FF8C2365"/>
      </top>
      <bottom style="thin">
        <color rgb="FFE6E6E6"/>
      </bottom>
      <diagonal/>
    </border>
    <border>
      <left/>
      <right/>
      <top style="thin">
        <color rgb="FFE6E6E6"/>
      </top>
      <bottom style="thin">
        <color theme="1" tint="4.9989318521683403E-2"/>
      </bottom>
      <diagonal/>
    </border>
    <border>
      <left/>
      <right style="thick">
        <color theme="0"/>
      </right>
      <top style="thin">
        <color auto="1"/>
      </top>
      <bottom style="thin">
        <color rgb="FF8C2365"/>
      </bottom>
      <diagonal/>
    </border>
    <border>
      <left/>
      <right/>
      <top/>
      <bottom style="thin">
        <color theme="0" tint="-0.14996795556505021"/>
      </bottom>
      <diagonal/>
    </border>
    <border>
      <left/>
      <right/>
      <top style="thin">
        <color theme="0" tint="-0.14996795556505021"/>
      </top>
      <bottom style="thin">
        <color theme="0" tint="-0.14996795556505021"/>
      </bottom>
      <diagonal/>
    </border>
  </borders>
  <cellStyleXfs count="952">
    <xf numFmtId="0" fontId="0" fillId="0" borderId="0"/>
    <xf numFmtId="49" fontId="3" fillId="0" borderId="0" applyNumberFormat="0">
      <alignment horizontal="left"/>
    </xf>
    <xf numFmtId="49" fontId="4" fillId="0" borderId="1">
      <alignment horizontal="right" vertical="center"/>
    </xf>
    <xf numFmtId="0" fontId="6" fillId="0" borderId="3" applyNumberFormat="0" applyAlignment="0">
      <alignment horizontal="left" vertical="center"/>
    </xf>
    <xf numFmtId="49" fontId="7" fillId="2" borderId="0" applyBorder="0" applyProtection="0">
      <alignment horizontal="right" vertical="center"/>
    </xf>
    <xf numFmtId="3" fontId="7" fillId="3" borderId="6" applyNumberFormat="0" applyAlignment="0">
      <alignment horizontal="right" vertical="center"/>
    </xf>
    <xf numFmtId="0" fontId="10" fillId="0" borderId="0">
      <alignment vertical="top"/>
    </xf>
    <xf numFmtId="0" fontId="13" fillId="0" borderId="0" applyNumberFormat="0"/>
    <xf numFmtId="3" fontId="7" fillId="4" borderId="6" applyNumberFormat="0" applyAlignment="0">
      <alignment horizontal="right" vertical="center"/>
    </xf>
    <xf numFmtId="49" fontId="20" fillId="7" borderId="1" applyAlignment="0">
      <alignment horizontal="right" vertical="center"/>
    </xf>
    <xf numFmtId="49" fontId="25" fillId="0" borderId="0" applyNumberFormat="0">
      <alignment horizontal="left"/>
    </xf>
    <xf numFmtId="49" fontId="26" fillId="0" borderId="0">
      <alignment horizontal="left"/>
    </xf>
    <xf numFmtId="49" fontId="27" fillId="0" borderId="0">
      <alignment horizontal="left"/>
    </xf>
    <xf numFmtId="49" fontId="28" fillId="0" borderId="50" applyNumberFormat="0" applyFont="0" applyAlignment="0" applyProtection="0">
      <alignment horizontal="left"/>
    </xf>
    <xf numFmtId="0" fontId="29" fillId="8" borderId="51" applyNumberFormat="0" applyAlignment="0" applyProtection="0"/>
    <xf numFmtId="49" fontId="30" fillId="0" borderId="1">
      <alignment horizontal="right" vertical="center"/>
    </xf>
    <xf numFmtId="0" fontId="31" fillId="0" borderId="0" applyNumberFormat="0" applyFill="0" applyBorder="0" applyAlignment="0" applyProtection="0"/>
    <xf numFmtId="49" fontId="7" fillId="0" borderId="52" applyNumberFormat="0" applyFont="0" applyFill="0" applyAlignment="0" applyProtection="0">
      <alignment horizontal="left"/>
    </xf>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49" fontId="43" fillId="0" borderId="75">
      <alignment horizontal="right" vertical="center"/>
    </xf>
    <xf numFmtId="49" fontId="48" fillId="0" borderId="77">
      <alignment horizontal="right" vertical="center"/>
    </xf>
    <xf numFmtId="0" fontId="50" fillId="0" borderId="74" applyNumberFormat="0" applyFill="0" applyAlignment="0" applyProtection="0"/>
    <xf numFmtId="49" fontId="27" fillId="0" borderId="82" applyNumberFormat="0">
      <alignment horizontal="right" vertical="center"/>
    </xf>
    <xf numFmtId="0" fontId="52" fillId="3" borderId="85" applyNumberFormat="0" applyFon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4" fontId="6" fillId="4" borderId="90" applyAlignment="0">
      <alignment horizontal="right" vertical="center"/>
    </xf>
    <xf numFmtId="0" fontId="10" fillId="0" borderId="0">
      <alignment vertical="top"/>
    </xf>
    <xf numFmtId="0" fontId="13" fillId="0" borderId="0" applyNumberFormat="0"/>
    <xf numFmtId="0" fontId="5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10" fillId="0" borderId="0">
      <alignment vertical="top"/>
    </xf>
    <xf numFmtId="49" fontId="73" fillId="16" borderId="82" applyNumberFormat="0"/>
    <xf numFmtId="164" fontId="6" fillId="4" borderId="90" applyAlignment="0">
      <alignment horizontal="right" vertical="center"/>
    </xf>
    <xf numFmtId="49" fontId="89" fillId="20" borderId="77" applyNumberFormat="0" applyAlignment="0">
      <alignment horizontal="right" vertical="center"/>
    </xf>
    <xf numFmtId="49" fontId="104" fillId="22" borderId="75" applyNumberFormat="0" applyAlignment="0">
      <alignment horizontal="right" vertical="center"/>
    </xf>
  </cellStyleXfs>
  <cellXfs count="1242">
    <xf numFmtId="0" fontId="0" fillId="0" borderId="0" xfId="0"/>
    <xf numFmtId="49" fontId="5" fillId="0" borderId="0" xfId="2" applyFont="1" applyBorder="1" applyAlignment="1">
      <alignment horizontal="left" vertical="center"/>
    </xf>
    <xf numFmtId="49" fontId="12" fillId="0" borderId="1" xfId="2" applyFont="1" applyAlignment="1">
      <alignment horizontal="left" vertical="center"/>
    </xf>
    <xf numFmtId="49" fontId="14" fillId="0" borderId="0" xfId="2" applyFont="1" applyBorder="1" applyAlignment="1">
      <alignment horizontal="left" vertical="center"/>
    </xf>
    <xf numFmtId="0" fontId="15" fillId="0" borderId="0" xfId="0" applyFont="1"/>
    <xf numFmtId="49" fontId="4" fillId="0" borderId="1" xfId="0" applyNumberFormat="1" applyFont="1" applyBorder="1" applyAlignment="1">
      <alignment horizontal="right" vertical="center"/>
    </xf>
    <xf numFmtId="164" fontId="17" fillId="0" borderId="0" xfId="0" applyNumberFormat="1" applyFont="1"/>
    <xf numFmtId="164" fontId="7" fillId="3" borderId="0" xfId="5" applyNumberFormat="1" applyBorder="1" applyAlignment="1"/>
    <xf numFmtId="0" fontId="7" fillId="3" borderId="21" xfId="5" applyNumberFormat="1" applyBorder="1" applyAlignment="1"/>
    <xf numFmtId="0" fontId="6" fillId="0" borderId="22" xfId="3" applyBorder="1" applyAlignment="1"/>
    <xf numFmtId="0" fontId="7" fillId="3" borderId="25" xfId="5" applyNumberFormat="1" applyBorder="1" applyAlignment="1"/>
    <xf numFmtId="0" fontId="6" fillId="0" borderId="25" xfId="3" applyBorder="1" applyAlignment="1"/>
    <xf numFmtId="0" fontId="18" fillId="0" borderId="0" xfId="0" applyFont="1"/>
    <xf numFmtId="0" fontId="7" fillId="3" borderId="19" xfId="5" applyNumberFormat="1" applyBorder="1" applyAlignment="1"/>
    <xf numFmtId="164" fontId="7" fillId="3" borderId="26" xfId="5" applyNumberFormat="1" applyBorder="1" applyAlignment="1">
      <alignment horizontal="right"/>
    </xf>
    <xf numFmtId="0" fontId="6" fillId="3" borderId="6" xfId="5" applyNumberFormat="1" applyFont="1" applyAlignment="1"/>
    <xf numFmtId="49" fontId="4" fillId="0" borderId="1" xfId="2" applyAlignment="1">
      <alignment horizontal="left" vertical="center"/>
    </xf>
    <xf numFmtId="0" fontId="7" fillId="3" borderId="31" xfId="5" applyNumberFormat="1" applyBorder="1" applyAlignment="1"/>
    <xf numFmtId="0" fontId="6" fillId="0" borderId="22" xfId="3" applyNumberFormat="1" applyBorder="1" applyAlignment="1"/>
    <xf numFmtId="0" fontId="6" fillId="0" borderId="9" xfId="3" applyNumberFormat="1" applyBorder="1" applyAlignment="1"/>
    <xf numFmtId="0" fontId="20" fillId="7" borderId="36" xfId="9" applyNumberFormat="1" applyBorder="1" applyAlignment="1"/>
    <xf numFmtId="49" fontId="4" fillId="0" borderId="0" xfId="2" applyBorder="1" applyAlignment="1">
      <alignment horizontal="left" vertical="center"/>
    </xf>
    <xf numFmtId="49" fontId="14" fillId="0" borderId="1" xfId="2" applyFont="1" applyAlignment="1">
      <alignment horizontal="left" vertical="center"/>
    </xf>
    <xf numFmtId="0" fontId="20" fillId="7" borderId="36" xfId="9" applyNumberFormat="1" applyFont="1" applyBorder="1" applyAlignment="1"/>
    <xf numFmtId="164" fontId="7" fillId="4" borderId="17" xfId="8" applyNumberFormat="1" applyBorder="1" applyAlignment="1">
      <alignment horizontal="right"/>
    </xf>
    <xf numFmtId="164" fontId="7" fillId="4" borderId="18" xfId="8" applyNumberFormat="1" applyBorder="1" applyAlignment="1">
      <alignment horizontal="right"/>
    </xf>
    <xf numFmtId="164" fontId="7" fillId="0" borderId="18" xfId="8" applyNumberFormat="1" applyFill="1" applyBorder="1" applyAlignment="1">
      <alignment horizontal="right"/>
    </xf>
    <xf numFmtId="164" fontId="7" fillId="4" borderId="29" xfId="8" applyNumberFormat="1" applyBorder="1" applyAlignment="1">
      <alignment horizontal="right"/>
    </xf>
    <xf numFmtId="164" fontId="7" fillId="4" borderId="30" xfId="8" applyNumberFormat="1" applyBorder="1" applyAlignment="1">
      <alignment horizontal="right"/>
    </xf>
    <xf numFmtId="164" fontId="7" fillId="0" borderId="30" xfId="8" applyNumberFormat="1" applyFill="1" applyBorder="1" applyAlignment="1">
      <alignment horizontal="right"/>
    </xf>
    <xf numFmtId="49" fontId="4" fillId="0" borderId="1" xfId="2" applyFont="1" applyAlignment="1">
      <alignment horizontal="right" vertical="center" wrapText="1"/>
    </xf>
    <xf numFmtId="164" fontId="7" fillId="4" borderId="28" xfId="8" applyNumberFormat="1" applyBorder="1" applyAlignment="1">
      <alignment horizontal="right"/>
    </xf>
    <xf numFmtId="164" fontId="7" fillId="4" borderId="6" xfId="8" applyNumberFormat="1" applyAlignment="1">
      <alignment horizontal="right"/>
    </xf>
    <xf numFmtId="164" fontId="7" fillId="4" borderId="40" xfId="8" applyNumberFormat="1" applyBorder="1" applyAlignment="1">
      <alignment horizontal="right"/>
    </xf>
    <xf numFmtId="164" fontId="7" fillId="4" borderId="41" xfId="8" applyNumberFormat="1" applyBorder="1" applyAlignment="1">
      <alignment horizontal="right"/>
    </xf>
    <xf numFmtId="164" fontId="20" fillId="7" borderId="36" xfId="9" applyNumberFormat="1" applyBorder="1" applyAlignment="1">
      <alignment horizontal="right"/>
    </xf>
    <xf numFmtId="0" fontId="7" fillId="0" borderId="3" xfId="3" applyNumberFormat="1" applyFont="1" applyAlignment="1"/>
    <xf numFmtId="164" fontId="7" fillId="3" borderId="0" xfId="5" applyNumberFormat="1" applyBorder="1" applyAlignment="1">
      <alignment horizontal="right"/>
    </xf>
    <xf numFmtId="49" fontId="4" fillId="0" borderId="1" xfId="2" applyFont="1" applyAlignment="1">
      <alignment horizontal="right" vertical="top" wrapText="1"/>
    </xf>
    <xf numFmtId="49" fontId="20" fillId="7" borderId="20" xfId="9" applyBorder="1" applyAlignment="1"/>
    <xf numFmtId="164" fontId="20" fillId="7" borderId="34" xfId="9" applyNumberFormat="1" applyBorder="1" applyAlignment="1">
      <alignment horizontal="right"/>
    </xf>
    <xf numFmtId="164" fontId="20" fillId="7" borderId="35" xfId="9" applyNumberFormat="1" applyBorder="1" applyAlignment="1">
      <alignment horizontal="right"/>
    </xf>
    <xf numFmtId="0" fontId="0" fillId="0" borderId="0" xfId="0" applyAlignment="1">
      <alignment horizontal="right"/>
    </xf>
    <xf numFmtId="0" fontId="6" fillId="0" borderId="3" xfId="3" applyNumberFormat="1" applyAlignment="1">
      <alignment horizontal="left"/>
    </xf>
    <xf numFmtId="164" fontId="7" fillId="0" borderId="17" xfId="8" applyNumberFormat="1" applyFill="1" applyBorder="1" applyAlignment="1"/>
    <xf numFmtId="0" fontId="20" fillId="7" borderId="1" xfId="9" applyNumberFormat="1" applyAlignment="1"/>
    <xf numFmtId="0" fontId="7" fillId="0" borderId="16" xfId="8" applyNumberFormat="1" applyFill="1" applyBorder="1" applyAlignment="1"/>
    <xf numFmtId="0" fontId="7" fillId="3" borderId="6" xfId="5" applyNumberFormat="1" applyAlignment="1">
      <alignment horizontal="left"/>
    </xf>
    <xf numFmtId="3" fontId="7" fillId="0" borderId="18" xfId="8" applyFill="1" applyBorder="1" applyAlignment="1">
      <alignment horizontal="right"/>
    </xf>
    <xf numFmtId="9" fontId="7" fillId="0" borderId="18" xfId="8" applyNumberFormat="1" applyFill="1" applyBorder="1" applyAlignment="1">
      <alignment horizontal="right"/>
    </xf>
    <xf numFmtId="0" fontId="7" fillId="3" borderId="0" xfId="5" applyNumberFormat="1" applyBorder="1" applyAlignment="1">
      <alignment horizontal="left"/>
    </xf>
    <xf numFmtId="9" fontId="7" fillId="0" borderId="30" xfId="8" applyNumberFormat="1" applyFill="1" applyBorder="1" applyAlignment="1">
      <alignment horizontal="right"/>
    </xf>
    <xf numFmtId="0" fontId="0" fillId="0" borderId="29" xfId="0" applyBorder="1"/>
    <xf numFmtId="9" fontId="0" fillId="0" borderId="0" xfId="0" applyNumberFormat="1" applyBorder="1"/>
    <xf numFmtId="164" fontId="0" fillId="0" borderId="0" xfId="0" applyNumberFormat="1" applyBorder="1"/>
    <xf numFmtId="164" fontId="0" fillId="0" borderId="0" xfId="0" applyNumberFormat="1"/>
    <xf numFmtId="49" fontId="23" fillId="0" borderId="0" xfId="2" applyFont="1" applyBorder="1" applyAlignment="1">
      <alignment horizontal="left" vertical="center"/>
    </xf>
    <xf numFmtId="49" fontId="20" fillId="7" borderId="36" xfId="9" applyBorder="1" applyAlignment="1"/>
    <xf numFmtId="49" fontId="5" fillId="0" borderId="1" xfId="2" applyFont="1" applyAlignment="1">
      <alignment horizontal="left" vertical="center"/>
    </xf>
    <xf numFmtId="0" fontId="23" fillId="0" borderId="1" xfId="2" applyNumberFormat="1" applyFont="1" applyBorder="1">
      <alignment horizontal="right" vertical="center"/>
    </xf>
    <xf numFmtId="0" fontId="13" fillId="0" borderId="0" xfId="7" applyNumberFormat="1"/>
    <xf numFmtId="0" fontId="24" fillId="7" borderId="47" xfId="9" applyNumberFormat="1" applyFont="1" applyBorder="1" applyAlignment="1"/>
    <xf numFmtId="49" fontId="5" fillId="0" borderId="1" xfId="2" applyFont="1" applyBorder="1" applyAlignment="1">
      <alignment horizontal="left" vertical="center"/>
    </xf>
    <xf numFmtId="0" fontId="20" fillId="7" borderId="47" xfId="9" applyNumberFormat="1" applyBorder="1" applyAlignment="1"/>
    <xf numFmtId="165" fontId="7" fillId="3" borderId="6" xfId="8" applyNumberFormat="1" applyFill="1" applyAlignment="1"/>
    <xf numFmtId="166" fontId="7" fillId="3" borderId="6" xfId="8" applyNumberFormat="1" applyFill="1" applyAlignment="1"/>
    <xf numFmtId="166" fontId="0" fillId="0" borderId="0" xfId="0" applyNumberFormat="1"/>
    <xf numFmtId="166" fontId="7" fillId="3" borderId="17" xfId="8" applyNumberFormat="1" applyFill="1" applyBorder="1" applyAlignment="1">
      <alignment horizontal="right"/>
    </xf>
    <xf numFmtId="166" fontId="7" fillId="3" borderId="18" xfId="8" applyNumberFormat="1" applyFill="1" applyBorder="1" applyAlignment="1">
      <alignment horizontal="right"/>
    </xf>
    <xf numFmtId="165" fontId="0" fillId="0" borderId="0" xfId="0" applyNumberFormat="1"/>
    <xf numFmtId="165" fontId="7" fillId="3" borderId="13" xfId="8" applyNumberFormat="1" applyFill="1" applyBorder="1" applyAlignment="1"/>
    <xf numFmtId="0" fontId="7" fillId="3" borderId="20" xfId="5" applyNumberFormat="1" applyBorder="1" applyAlignment="1"/>
    <xf numFmtId="49" fontId="13" fillId="0" borderId="0" xfId="7" applyNumberFormat="1"/>
    <xf numFmtId="0" fontId="17" fillId="0" borderId="0" xfId="0" applyFont="1" applyFill="1"/>
    <xf numFmtId="1" fontId="0" fillId="0" borderId="0" xfId="0" applyNumberFormat="1"/>
    <xf numFmtId="0" fontId="0" fillId="0" borderId="0" xfId="0" applyFill="1"/>
    <xf numFmtId="0" fontId="6" fillId="0" borderId="4" xfId="3" applyNumberFormat="1" applyFill="1" applyBorder="1" applyAlignment="1">
      <alignment horizontal="left" vertical="center"/>
    </xf>
    <xf numFmtId="0" fontId="7" fillId="0" borderId="7" xfId="5" applyNumberFormat="1" applyFill="1" applyBorder="1" applyAlignment="1">
      <alignment horizontal="left" vertical="center"/>
    </xf>
    <xf numFmtId="0" fontId="7" fillId="0" borderId="6" xfId="5" applyNumberFormat="1" applyFill="1" applyAlignment="1"/>
    <xf numFmtId="0" fontId="7" fillId="0" borderId="0" xfId="5" applyNumberFormat="1" applyFill="1" applyBorder="1" applyAlignment="1"/>
    <xf numFmtId="164" fontId="7" fillId="0" borderId="0" xfId="5" applyNumberFormat="1" applyFill="1" applyBorder="1" applyAlignment="1">
      <alignment horizontal="right"/>
    </xf>
    <xf numFmtId="0" fontId="33" fillId="3" borderId="0" xfId="5" applyNumberFormat="1" applyFont="1" applyBorder="1" applyAlignment="1">
      <alignment horizontal="left" vertical="center"/>
    </xf>
    <xf numFmtId="0" fontId="7" fillId="0" borderId="13" xfId="5" applyNumberFormat="1" applyFont="1" applyFill="1" applyBorder="1" applyAlignment="1">
      <alignment horizontal="left" vertical="center"/>
    </xf>
    <xf numFmtId="0" fontId="0" fillId="0" borderId="0" xfId="0" applyNumberFormat="1"/>
    <xf numFmtId="164" fontId="20" fillId="0" borderId="0" xfId="9" applyNumberFormat="1" applyFill="1" applyBorder="1" applyAlignment="1"/>
    <xf numFmtId="0" fontId="20" fillId="0" borderId="0" xfId="9" applyNumberFormat="1" applyFill="1" applyBorder="1" applyAlignment="1"/>
    <xf numFmtId="164" fontId="6" fillId="9" borderId="23" xfId="3" applyNumberFormat="1" applyFill="1" applyBorder="1" applyAlignment="1">
      <alignment horizontal="right"/>
    </xf>
    <xf numFmtId="2" fontId="7" fillId="10" borderId="26" xfId="5" applyNumberFormat="1" applyFill="1" applyBorder="1" applyAlignment="1">
      <alignment horizontal="right"/>
    </xf>
    <xf numFmtId="164" fontId="6" fillId="9" borderId="26" xfId="3" applyNumberFormat="1" applyFill="1" applyBorder="1" applyAlignment="1">
      <alignment horizontal="right"/>
    </xf>
    <xf numFmtId="164" fontId="7" fillId="10" borderId="26" xfId="5" applyNumberFormat="1" applyFill="1" applyBorder="1" applyAlignment="1">
      <alignment horizontal="right"/>
    </xf>
    <xf numFmtId="3" fontId="7" fillId="10" borderId="26" xfId="5" applyNumberFormat="1" applyFill="1" applyBorder="1" applyAlignment="1">
      <alignment horizontal="right"/>
    </xf>
    <xf numFmtId="168" fontId="7" fillId="10" borderId="27" xfId="5" applyNumberFormat="1" applyFill="1" applyBorder="1" applyAlignment="1">
      <alignment horizontal="right"/>
    </xf>
    <xf numFmtId="165" fontId="7" fillId="4" borderId="18" xfId="8" applyNumberFormat="1" applyBorder="1" applyAlignment="1">
      <alignment horizontal="right"/>
    </xf>
    <xf numFmtId="166" fontId="7" fillId="4" borderId="18" xfId="8" applyNumberFormat="1" applyBorder="1" applyAlignment="1">
      <alignment horizontal="right"/>
    </xf>
    <xf numFmtId="166" fontId="7" fillId="4" borderId="17" xfId="8" applyNumberFormat="1" applyBorder="1" applyAlignment="1">
      <alignment horizontal="right"/>
    </xf>
    <xf numFmtId="165" fontId="7" fillId="4" borderId="53" xfId="8" applyNumberFormat="1" applyBorder="1" applyAlignment="1">
      <alignment horizontal="right"/>
    </xf>
    <xf numFmtId="165" fontId="7" fillId="4" borderId="14" xfId="8" applyNumberFormat="1" applyBorder="1" applyAlignment="1">
      <alignment horizontal="right"/>
    </xf>
    <xf numFmtId="165" fontId="7" fillId="3" borderId="17" xfId="8" applyNumberFormat="1" applyFill="1" applyBorder="1" applyAlignment="1">
      <alignment horizontal="right"/>
    </xf>
    <xf numFmtId="165" fontId="7" fillId="3" borderId="18" xfId="8" applyNumberFormat="1" applyFill="1" applyBorder="1" applyAlignment="1">
      <alignment horizontal="right"/>
    </xf>
    <xf numFmtId="165" fontId="7" fillId="3" borderId="53" xfId="8" applyNumberFormat="1" applyFill="1" applyBorder="1" applyAlignment="1">
      <alignment horizontal="right"/>
    </xf>
    <xf numFmtId="165" fontId="7" fillId="3" borderId="14" xfId="8" applyNumberFormat="1" applyFill="1" applyBorder="1" applyAlignment="1">
      <alignment horizontal="right"/>
    </xf>
    <xf numFmtId="0" fontId="34" fillId="6" borderId="54" xfId="9" applyNumberFormat="1" applyFont="1" applyFill="1" applyBorder="1" applyAlignment="1"/>
    <xf numFmtId="164" fontId="37" fillId="9" borderId="56" xfId="9" applyNumberFormat="1" applyFont="1" applyFill="1" applyBorder="1" applyAlignment="1">
      <alignment horizontal="right"/>
    </xf>
    <xf numFmtId="164" fontId="37" fillId="9" borderId="57" xfId="9" applyNumberFormat="1" applyFont="1" applyFill="1" applyBorder="1" applyAlignment="1">
      <alignment horizontal="right"/>
    </xf>
    <xf numFmtId="167" fontId="6" fillId="9" borderId="26" xfId="3" applyNumberFormat="1" applyFill="1" applyBorder="1" applyAlignment="1">
      <alignment horizontal="right"/>
    </xf>
    <xf numFmtId="0" fontId="10" fillId="0" borderId="0" xfId="0" applyFont="1" applyAlignment="1">
      <alignment vertical="center"/>
    </xf>
    <xf numFmtId="164" fontId="6" fillId="6" borderId="23" xfId="3" applyNumberFormat="1" applyFill="1" applyBorder="1" applyAlignment="1">
      <alignment horizontal="right"/>
    </xf>
    <xf numFmtId="2" fontId="7" fillId="3" borderId="26" xfId="5" applyNumberFormat="1" applyFill="1" applyBorder="1" applyAlignment="1">
      <alignment horizontal="right"/>
    </xf>
    <xf numFmtId="164" fontId="6" fillId="6" borderId="26" xfId="3" applyNumberFormat="1" applyFill="1" applyBorder="1" applyAlignment="1">
      <alignment horizontal="right"/>
    </xf>
    <xf numFmtId="167" fontId="6" fillId="6" borderId="26" xfId="3" applyNumberFormat="1" applyFill="1" applyBorder="1" applyAlignment="1">
      <alignment horizontal="right"/>
    </xf>
    <xf numFmtId="164" fontId="7" fillId="3" borderId="26" xfId="5" applyNumberFormat="1" applyFill="1" applyBorder="1" applyAlignment="1">
      <alignment horizontal="right"/>
    </xf>
    <xf numFmtId="3" fontId="7" fillId="3" borderId="26" xfId="5" applyNumberFormat="1" applyFill="1" applyBorder="1" applyAlignment="1">
      <alignment horizontal="right"/>
    </xf>
    <xf numFmtId="168" fontId="7" fillId="3" borderId="27" xfId="5" applyNumberFormat="1" applyFill="1" applyBorder="1" applyAlignment="1">
      <alignment horizontal="right"/>
    </xf>
    <xf numFmtId="0" fontId="7" fillId="3" borderId="27" xfId="5" quotePrefix="1" applyNumberFormat="1" applyFill="1" applyBorder="1" applyAlignment="1">
      <alignment horizontal="right"/>
    </xf>
    <xf numFmtId="0" fontId="21" fillId="0" borderId="0" xfId="1" applyNumberFormat="1" applyFont="1">
      <alignment horizontal="left"/>
    </xf>
    <xf numFmtId="164" fontId="6" fillId="6" borderId="5" xfId="3" applyNumberFormat="1" applyFill="1" applyBorder="1" applyAlignment="1">
      <alignment horizontal="right" vertical="center"/>
    </xf>
    <xf numFmtId="164" fontId="7" fillId="6" borderId="14" xfId="5" applyNumberFormat="1" applyFill="1" applyBorder="1">
      <alignment horizontal="right" vertical="center"/>
    </xf>
    <xf numFmtId="164" fontId="6" fillId="6" borderId="24" xfId="3" applyNumberFormat="1" applyFill="1" applyBorder="1" applyAlignment="1">
      <alignment horizontal="right"/>
    </xf>
    <xf numFmtId="164" fontId="7" fillId="3" borderId="18" xfId="5" applyNumberFormat="1" applyFill="1" applyBorder="1" applyAlignment="1">
      <alignment horizontal="right"/>
    </xf>
    <xf numFmtId="164" fontId="7" fillId="3" borderId="32" xfId="5" applyNumberFormat="1" applyFill="1" applyBorder="1" applyAlignment="1">
      <alignment horizontal="right"/>
    </xf>
    <xf numFmtId="164" fontId="7" fillId="3" borderId="17" xfId="8" applyNumberFormat="1" applyFill="1" applyBorder="1" applyAlignment="1"/>
    <xf numFmtId="0" fontId="6" fillId="10" borderId="6" xfId="5" applyNumberFormat="1" applyFont="1" applyFill="1" applyAlignment="1"/>
    <xf numFmtId="164" fontId="7" fillId="3" borderId="18" xfId="8" applyNumberFormat="1" applyFill="1" applyBorder="1" applyAlignment="1">
      <alignment horizontal="right"/>
    </xf>
    <xf numFmtId="164" fontId="7" fillId="3" borderId="30" xfId="8" applyNumberFormat="1" applyFill="1" applyBorder="1" applyAlignment="1">
      <alignment horizontal="right"/>
    </xf>
    <xf numFmtId="0" fontId="7" fillId="3" borderId="17" xfId="8" applyNumberFormat="1" applyFill="1" applyBorder="1" applyAlignment="1"/>
    <xf numFmtId="0" fontId="7" fillId="3" borderId="18" xfId="5" applyNumberFormat="1" applyFill="1" applyBorder="1" applyAlignment="1">
      <alignment horizontal="right"/>
    </xf>
    <xf numFmtId="164" fontId="7" fillId="3" borderId="29" xfId="8" applyNumberFormat="1" applyFill="1" applyBorder="1" applyAlignment="1">
      <alignment horizontal="right"/>
    </xf>
    <xf numFmtId="49" fontId="14" fillId="0" borderId="0" xfId="0" applyNumberFormat="1" applyFont="1" applyAlignment="1">
      <alignment horizontal="left" vertical="center"/>
    </xf>
    <xf numFmtId="0" fontId="4" fillId="0" borderId="0" xfId="0" applyFont="1" applyAlignment="1">
      <alignment horizontal="right" vertical="center"/>
    </xf>
    <xf numFmtId="0" fontId="6" fillId="0" borderId="59" xfId="0" applyFont="1" applyBorder="1"/>
    <xf numFmtId="164" fontId="6" fillId="11" borderId="60" xfId="0" applyNumberFormat="1" applyFont="1" applyFill="1" applyBorder="1" applyAlignment="1">
      <alignment horizontal="right"/>
    </xf>
    <xf numFmtId="164" fontId="6" fillId="11" borderId="59" xfId="0" applyNumberFormat="1" applyFont="1" applyFill="1" applyBorder="1" applyAlignment="1">
      <alignment horizontal="right"/>
    </xf>
    <xf numFmtId="164" fontId="7" fillId="11" borderId="60" xfId="0" applyNumberFormat="1" applyFont="1" applyFill="1" applyBorder="1" applyAlignment="1">
      <alignment horizontal="right"/>
    </xf>
    <xf numFmtId="164" fontId="7" fillId="11" borderId="59" xfId="0" applyNumberFormat="1" applyFont="1" applyFill="1" applyBorder="1" applyAlignment="1">
      <alignment horizontal="right"/>
    </xf>
    <xf numFmtId="164" fontId="7" fillId="11" borderId="61" xfId="0" applyNumberFormat="1" applyFont="1" applyFill="1" applyBorder="1" applyAlignment="1">
      <alignment horizontal="right"/>
    </xf>
    <xf numFmtId="164" fontId="7" fillId="11" borderId="9" xfId="0" applyNumberFormat="1" applyFont="1" applyFill="1" applyBorder="1" applyAlignment="1">
      <alignment horizontal="right"/>
    </xf>
    <xf numFmtId="164" fontId="7" fillId="6" borderId="17" xfId="8" applyNumberFormat="1" applyFill="1" applyBorder="1" applyAlignment="1">
      <alignment horizontal="right"/>
    </xf>
    <xf numFmtId="164" fontId="7" fillId="6" borderId="29" xfId="8" applyNumberFormat="1" applyFill="1" applyBorder="1" applyAlignment="1">
      <alignment horizontal="right"/>
    </xf>
    <xf numFmtId="0" fontId="4" fillId="0" borderId="1" xfId="0" applyFont="1" applyBorder="1" applyAlignment="1">
      <alignment horizontal="right" vertical="center"/>
    </xf>
    <xf numFmtId="0" fontId="6" fillId="0" borderId="7" xfId="3" applyNumberFormat="1" applyFont="1" applyFill="1" applyBorder="1" applyAlignment="1">
      <alignment horizontal="left" vertical="center"/>
    </xf>
    <xf numFmtId="166" fontId="13" fillId="0" borderId="0" xfId="7" applyNumberFormat="1"/>
    <xf numFmtId="0" fontId="7" fillId="3" borderId="6" xfId="5" applyNumberFormat="1" applyFont="1" applyAlignment="1"/>
    <xf numFmtId="0" fontId="7" fillId="3" borderId="0" xfId="5" applyNumberFormat="1" applyFont="1" applyBorder="1" applyAlignment="1"/>
    <xf numFmtId="9" fontId="7" fillId="0" borderId="18" xfId="8" applyNumberFormat="1" applyFill="1" applyBorder="1" applyAlignment="1">
      <alignment horizontal="right" vertical="center"/>
    </xf>
    <xf numFmtId="3" fontId="7" fillId="3" borderId="17" xfId="8" applyFill="1" applyBorder="1" applyAlignment="1">
      <alignment horizontal="right"/>
    </xf>
    <xf numFmtId="3" fontId="7" fillId="0" borderId="17" xfId="8" applyFill="1" applyBorder="1" applyAlignment="1">
      <alignment horizontal="right"/>
    </xf>
    <xf numFmtId="3" fontId="7" fillId="3" borderId="29" xfId="8" applyFill="1" applyBorder="1" applyAlignment="1">
      <alignment horizontal="right"/>
    </xf>
    <xf numFmtId="3" fontId="7" fillId="0" borderId="29" xfId="8" applyFill="1" applyBorder="1" applyAlignment="1">
      <alignment horizontal="right"/>
    </xf>
    <xf numFmtId="3" fontId="20" fillId="7" borderId="37" xfId="9" applyNumberFormat="1" applyBorder="1" applyAlignment="1">
      <alignment horizontal="right"/>
    </xf>
    <xf numFmtId="9" fontId="20" fillId="7" borderId="37" xfId="9" applyNumberFormat="1" applyBorder="1" applyAlignment="1">
      <alignment horizontal="right"/>
    </xf>
    <xf numFmtId="49" fontId="4" fillId="0" borderId="1" xfId="0" applyNumberFormat="1" applyFont="1" applyBorder="1" applyAlignment="1">
      <alignment horizontal="left" vertical="center"/>
    </xf>
    <xf numFmtId="0" fontId="7" fillId="5" borderId="0" xfId="0" applyFont="1" applyFill="1" applyBorder="1"/>
    <xf numFmtId="49" fontId="23" fillId="0" borderId="29" xfId="2" applyFont="1" applyBorder="1">
      <alignment horizontal="right" vertical="center"/>
    </xf>
    <xf numFmtId="0" fontId="6" fillId="5" borderId="0" xfId="0" applyFont="1" applyFill="1" applyBorder="1"/>
    <xf numFmtId="0" fontId="23" fillId="0" borderId="0" xfId="2" applyNumberFormat="1" applyFont="1" applyBorder="1">
      <alignment horizontal="right" vertical="center"/>
    </xf>
    <xf numFmtId="164" fontId="7" fillId="11" borderId="65" xfId="0" applyNumberFormat="1" applyFont="1" applyFill="1" applyBorder="1" applyAlignment="1">
      <alignment horizontal="right"/>
    </xf>
    <xf numFmtId="164" fontId="7" fillId="11" borderId="7" xfId="0" applyNumberFormat="1" applyFont="1" applyFill="1" applyBorder="1" applyAlignment="1">
      <alignment horizontal="right"/>
    </xf>
    <xf numFmtId="166" fontId="7" fillId="10" borderId="69" xfId="8" applyNumberFormat="1" applyFill="1" applyBorder="1" applyAlignment="1">
      <alignment horizontal="right"/>
    </xf>
    <xf numFmtId="166" fontId="7" fillId="10" borderId="67" xfId="8" applyNumberFormat="1" applyFill="1" applyBorder="1" applyAlignment="1">
      <alignment horizontal="right"/>
    </xf>
    <xf numFmtId="164" fontId="34" fillId="6" borderId="39" xfId="9" applyNumberFormat="1" applyFont="1" applyFill="1" applyBorder="1" applyAlignment="1">
      <alignment horizontal="right"/>
    </xf>
    <xf numFmtId="164" fontId="7" fillId="3" borderId="41" xfId="8" applyNumberFormat="1" applyFill="1" applyBorder="1" applyAlignment="1">
      <alignment horizontal="right"/>
    </xf>
    <xf numFmtId="0" fontId="6" fillId="10" borderId="17" xfId="5" applyNumberFormat="1" applyFont="1" applyFill="1" applyBorder="1" applyAlignment="1"/>
    <xf numFmtId="0" fontId="23" fillId="0" borderId="2" xfId="2" applyNumberFormat="1" applyFont="1" applyBorder="1">
      <alignment horizontal="right" vertical="center"/>
    </xf>
    <xf numFmtId="49" fontId="14" fillId="0" borderId="71" xfId="2" applyFont="1" applyBorder="1" applyAlignment="1">
      <alignment horizontal="left" vertical="center"/>
    </xf>
    <xf numFmtId="49" fontId="5" fillId="0" borderId="71" xfId="2" applyFont="1" applyBorder="1" applyAlignment="1">
      <alignment horizontal="left" vertical="center"/>
    </xf>
    <xf numFmtId="0" fontId="4" fillId="0" borderId="2" xfId="0" applyFont="1" applyBorder="1" applyAlignment="1">
      <alignment horizontal="right" vertical="center"/>
    </xf>
    <xf numFmtId="0" fontId="4" fillId="0" borderId="2" xfId="2" applyNumberFormat="1" applyFont="1" applyBorder="1">
      <alignment horizontal="right" vertical="center"/>
    </xf>
    <xf numFmtId="9" fontId="7" fillId="3" borderId="17" xfId="8" applyNumberFormat="1" applyFill="1" applyBorder="1" applyAlignment="1">
      <alignment horizontal="right" vertical="center"/>
    </xf>
    <xf numFmtId="9" fontId="7" fillId="3" borderId="29" xfId="8" applyNumberFormat="1" applyFill="1" applyBorder="1" applyAlignment="1">
      <alignment horizontal="right"/>
    </xf>
    <xf numFmtId="0" fontId="6" fillId="10" borderId="18" xfId="5" applyNumberFormat="1" applyFont="1" applyFill="1" applyBorder="1" applyAlignment="1"/>
    <xf numFmtId="0" fontId="7" fillId="10" borderId="18" xfId="5" applyNumberFormat="1" applyFill="1" applyBorder="1" applyAlignment="1">
      <alignment horizontal="right"/>
    </xf>
    <xf numFmtId="9" fontId="7" fillId="10" borderId="18" xfId="5" applyNumberFormat="1" applyFill="1" applyBorder="1" applyAlignment="1">
      <alignment horizontal="right"/>
    </xf>
    <xf numFmtId="9" fontId="7" fillId="10" borderId="30" xfId="5" applyNumberFormat="1" applyFill="1" applyBorder="1" applyAlignment="1">
      <alignment horizontal="right"/>
    </xf>
    <xf numFmtId="0" fontId="6" fillId="10" borderId="16" xfId="5" applyNumberFormat="1" applyFont="1" applyFill="1" applyBorder="1" applyAlignment="1"/>
    <xf numFmtId="164" fontId="7" fillId="10" borderId="72" xfId="5" applyNumberFormat="1" applyFill="1" applyBorder="1" applyAlignment="1">
      <alignment horizontal="right"/>
    </xf>
    <xf numFmtId="37" fontId="6" fillId="10" borderId="17" xfId="5" applyNumberFormat="1" applyFont="1" applyFill="1" applyBorder="1" applyAlignment="1"/>
    <xf numFmtId="37" fontId="6" fillId="10" borderId="6" xfId="5" applyNumberFormat="1" applyFont="1" applyFill="1" applyAlignment="1"/>
    <xf numFmtId="37" fontId="7" fillId="3" borderId="15" xfId="8" applyNumberFormat="1" applyFill="1" applyBorder="1" applyAlignment="1"/>
    <xf numFmtId="167" fontId="7" fillId="3" borderId="17" xfId="8" applyNumberFormat="1" applyFill="1" applyBorder="1" applyAlignment="1">
      <alignment horizontal="right"/>
    </xf>
    <xf numFmtId="167" fontId="7" fillId="0" borderId="17" xfId="8" applyNumberFormat="1" applyFill="1" applyBorder="1" applyAlignment="1">
      <alignment horizontal="right"/>
    </xf>
    <xf numFmtId="167" fontId="7" fillId="3" borderId="29" xfId="8" applyNumberFormat="1" applyFill="1" applyBorder="1" applyAlignment="1">
      <alignment horizontal="right"/>
    </xf>
    <xf numFmtId="167" fontId="7" fillId="0" borderId="29" xfId="8" applyNumberFormat="1" applyFill="1" applyBorder="1" applyAlignment="1">
      <alignment horizontal="right"/>
    </xf>
    <xf numFmtId="0" fontId="7" fillId="3" borderId="18" xfId="8" applyNumberFormat="1" applyFill="1" applyBorder="1" applyAlignment="1">
      <alignment horizontal="right"/>
    </xf>
    <xf numFmtId="37" fontId="6" fillId="2" borderId="7" xfId="4" applyNumberFormat="1" applyFont="1" applyBorder="1" applyAlignment="1">
      <alignment horizontal="right" vertical="center"/>
    </xf>
    <xf numFmtId="164" fontId="19" fillId="0" borderId="0" xfId="0" applyNumberFormat="1" applyFont="1"/>
    <xf numFmtId="164" fontId="6" fillId="9" borderId="22" xfId="3" applyNumberFormat="1" applyFill="1" applyBorder="1" applyAlignment="1">
      <alignment horizontal="right"/>
    </xf>
    <xf numFmtId="164" fontId="7" fillId="10" borderId="6" xfId="5" applyNumberFormat="1" applyFill="1" applyAlignment="1">
      <alignment horizontal="right"/>
    </xf>
    <xf numFmtId="164" fontId="7" fillId="10" borderId="31" xfId="5" applyNumberFormat="1" applyFill="1" applyBorder="1" applyAlignment="1">
      <alignment horizontal="right"/>
    </xf>
    <xf numFmtId="164" fontId="7" fillId="10" borderId="0" xfId="5" applyNumberFormat="1" applyFill="1" applyBorder="1" applyAlignment="1">
      <alignment horizontal="right"/>
    </xf>
    <xf numFmtId="164" fontId="39" fillId="7" borderId="37" xfId="9" applyNumberFormat="1" applyFont="1" applyBorder="1" applyAlignment="1">
      <alignment horizontal="right"/>
    </xf>
    <xf numFmtId="164" fontId="6" fillId="10" borderId="17" xfId="5" applyNumberFormat="1" applyFont="1" applyFill="1" applyBorder="1" applyAlignment="1">
      <alignment horizontal="right"/>
    </xf>
    <xf numFmtId="164" fontId="20" fillId="7" borderId="37" xfId="9" applyNumberFormat="1" applyFont="1" applyBorder="1" applyAlignment="1">
      <alignment horizontal="right"/>
    </xf>
    <xf numFmtId="164" fontId="20" fillId="7" borderId="36" xfId="9" applyNumberFormat="1" applyFont="1" applyBorder="1" applyAlignment="1">
      <alignment horizontal="right"/>
    </xf>
    <xf numFmtId="164" fontId="7" fillId="10" borderId="66" xfId="5" applyNumberFormat="1" applyFill="1" applyBorder="1" applyAlignment="1">
      <alignment horizontal="right"/>
    </xf>
    <xf numFmtId="164" fontId="34" fillId="9" borderId="1" xfId="9" applyNumberFormat="1" applyFont="1" applyFill="1" applyBorder="1" applyAlignment="1">
      <alignment horizontal="right"/>
    </xf>
    <xf numFmtId="164" fontId="6" fillId="10" borderId="6" xfId="5" applyNumberFormat="1" applyFont="1" applyFill="1" applyAlignment="1"/>
    <xf numFmtId="164" fontId="6" fillId="0" borderId="3" xfId="3" applyNumberFormat="1" applyAlignment="1">
      <alignment horizontal="left"/>
    </xf>
    <xf numFmtId="164" fontId="6" fillId="10" borderId="6" xfId="5" applyNumberFormat="1" applyFont="1" applyFill="1" applyAlignment="1">
      <alignment horizontal="right"/>
    </xf>
    <xf numFmtId="164" fontId="6" fillId="10" borderId="17" xfId="5" applyNumberFormat="1" applyFont="1" applyFill="1" applyBorder="1" applyAlignment="1"/>
    <xf numFmtId="164" fontId="7" fillId="9" borderId="70" xfId="5" applyNumberFormat="1" applyFill="1" applyBorder="1" applyAlignment="1">
      <alignment horizontal="right"/>
    </xf>
    <xf numFmtId="164" fontId="7" fillId="9" borderId="17" xfId="5" applyNumberFormat="1" applyFill="1" applyBorder="1" applyAlignment="1">
      <alignment horizontal="right"/>
    </xf>
    <xf numFmtId="164" fontId="20" fillId="7" borderId="2" xfId="9" applyNumberFormat="1" applyBorder="1" applyAlignment="1">
      <alignment horizontal="right"/>
    </xf>
    <xf numFmtId="164" fontId="6" fillId="10" borderId="15" xfId="5" applyNumberFormat="1" applyFont="1" applyFill="1" applyBorder="1" applyAlignment="1"/>
    <xf numFmtId="164" fontId="24" fillId="7" borderId="48" xfId="9" applyNumberFormat="1" applyFont="1" applyBorder="1" applyAlignment="1">
      <alignment horizontal="right"/>
    </xf>
    <xf numFmtId="164" fontId="7" fillId="3" borderId="18" xfId="8" applyNumberFormat="1" applyFill="1" applyBorder="1" applyAlignment="1"/>
    <xf numFmtId="164" fontId="20" fillId="7" borderId="47" xfId="9" applyNumberFormat="1" applyBorder="1" applyAlignment="1">
      <alignment horizontal="right"/>
    </xf>
    <xf numFmtId="164" fontId="20" fillId="7" borderId="49" xfId="9" applyNumberFormat="1" applyBorder="1" applyAlignment="1">
      <alignment horizontal="right"/>
    </xf>
    <xf numFmtId="164" fontId="7" fillId="10" borderId="20" xfId="5" applyNumberFormat="1" applyFill="1" applyBorder="1" applyAlignment="1">
      <alignment horizontal="right"/>
    </xf>
    <xf numFmtId="164" fontId="7" fillId="3" borderId="34" xfId="8" applyNumberFormat="1" applyFill="1" applyBorder="1" applyAlignment="1">
      <alignment horizontal="right"/>
    </xf>
    <xf numFmtId="0" fontId="32" fillId="3" borderId="0" xfId="5" applyNumberFormat="1" applyFont="1" applyBorder="1" applyAlignment="1">
      <alignment horizontal="left" vertical="center"/>
    </xf>
    <xf numFmtId="49" fontId="43" fillId="0" borderId="75" xfId="366">
      <alignment horizontal="right" vertical="center"/>
    </xf>
    <xf numFmtId="0" fontId="43" fillId="0" borderId="75" xfId="366" applyNumberFormat="1">
      <alignment horizontal="right" vertical="center"/>
    </xf>
    <xf numFmtId="49" fontId="44" fillId="0" borderId="75" xfId="366" applyFont="1" applyAlignment="1">
      <alignment horizontal="left" vertical="center"/>
    </xf>
    <xf numFmtId="0" fontId="45" fillId="0" borderId="0" xfId="0" applyFont="1"/>
    <xf numFmtId="0" fontId="43" fillId="0" borderId="76" xfId="366" applyNumberFormat="1" applyBorder="1">
      <alignment horizontal="right" vertical="center"/>
    </xf>
    <xf numFmtId="49" fontId="48" fillId="0" borderId="77" xfId="367">
      <alignment horizontal="right" vertical="center"/>
    </xf>
    <xf numFmtId="0" fontId="48" fillId="0" borderId="77" xfId="367" applyNumberFormat="1">
      <alignment horizontal="right" vertical="center"/>
    </xf>
    <xf numFmtId="49" fontId="49" fillId="0" borderId="77" xfId="367" applyFont="1" applyAlignment="1">
      <alignment horizontal="left" vertical="center"/>
    </xf>
    <xf numFmtId="0" fontId="48" fillId="0" borderId="78" xfId="367" applyNumberFormat="1" applyBorder="1">
      <alignment horizontal="right" vertical="center"/>
    </xf>
    <xf numFmtId="0" fontId="27" fillId="0" borderId="83" xfId="369" applyNumberFormat="1" applyBorder="1">
      <alignment horizontal="right" vertical="center"/>
    </xf>
    <xf numFmtId="49" fontId="51" fillId="0" borderId="82" xfId="369" applyFont="1" applyAlignment="1">
      <alignment horizontal="left" vertical="center"/>
    </xf>
    <xf numFmtId="0" fontId="27" fillId="0" borderId="84" xfId="369" applyNumberFormat="1" applyBorder="1">
      <alignment horizontal="right" vertical="center"/>
    </xf>
    <xf numFmtId="164" fontId="7" fillId="3" borderId="6" xfId="5" applyNumberFormat="1" applyAlignment="1">
      <alignment horizontal="right" vertical="center"/>
    </xf>
    <xf numFmtId="0" fontId="7" fillId="3" borderId="6" xfId="5" applyNumberFormat="1" applyAlignment="1">
      <alignment horizontal="left" vertical="center"/>
    </xf>
    <xf numFmtId="166" fontId="7" fillId="4" borderId="6" xfId="8" applyNumberFormat="1" applyAlignment="1">
      <alignment horizontal="right"/>
    </xf>
    <xf numFmtId="0" fontId="7" fillId="3" borderId="86" xfId="5" applyNumberFormat="1" applyBorder="1" applyAlignment="1"/>
    <xf numFmtId="164" fontId="7" fillId="10" borderId="86" xfId="5" applyNumberFormat="1" applyFill="1" applyBorder="1" applyAlignment="1">
      <alignment horizontal="right"/>
    </xf>
    <xf numFmtId="164" fontId="7" fillId="3" borderId="87" xfId="8" applyNumberFormat="1" applyFill="1" applyBorder="1" applyAlignment="1">
      <alignment horizontal="right"/>
    </xf>
    <xf numFmtId="164" fontId="7" fillId="0" borderId="87" xfId="8" applyNumberFormat="1" applyFill="1" applyBorder="1" applyAlignment="1">
      <alignment horizontal="right"/>
    </xf>
    <xf numFmtId="169" fontId="7" fillId="10" borderId="6" xfId="5" applyNumberFormat="1" applyFill="1" applyAlignment="1">
      <alignment horizontal="right"/>
    </xf>
    <xf numFmtId="169" fontId="7" fillId="10" borderId="13" xfId="5" applyNumberFormat="1" applyFill="1" applyBorder="1" applyAlignment="1">
      <alignment horizontal="right"/>
    </xf>
    <xf numFmtId="39" fontId="7" fillId="10" borderId="6" xfId="5" applyNumberFormat="1" applyFill="1" applyAlignment="1">
      <alignment horizontal="right"/>
    </xf>
    <xf numFmtId="164" fontId="20" fillId="7" borderId="48" xfId="9" applyNumberFormat="1" applyFill="1" applyBorder="1" applyAlignment="1">
      <alignment horizontal="right"/>
    </xf>
    <xf numFmtId="164" fontId="20" fillId="7" borderId="48" xfId="9" applyNumberFormat="1" applyBorder="1" applyAlignment="1">
      <alignment horizontal="right"/>
    </xf>
    <xf numFmtId="164" fontId="20" fillId="7" borderId="37" xfId="9" applyNumberFormat="1" applyFill="1" applyBorder="1" applyAlignment="1">
      <alignment horizontal="right"/>
    </xf>
    <xf numFmtId="167" fontId="7" fillId="10" borderId="6" xfId="5" applyNumberFormat="1" applyFill="1" applyAlignment="1">
      <alignment horizontal="right"/>
    </xf>
    <xf numFmtId="167" fontId="7" fillId="10" borderId="0" xfId="5" applyNumberFormat="1" applyFill="1" applyBorder="1" applyAlignment="1">
      <alignment horizontal="right"/>
    </xf>
    <xf numFmtId="0" fontId="6" fillId="5" borderId="58" xfId="0" applyFont="1" applyFill="1" applyBorder="1"/>
    <xf numFmtId="0" fontId="7" fillId="5" borderId="6" xfId="0" applyFont="1" applyFill="1" applyBorder="1" applyAlignment="1">
      <alignment horizontal="left" indent="1"/>
    </xf>
    <xf numFmtId="0" fontId="7" fillId="5" borderId="0" xfId="0" applyFont="1" applyFill="1" applyAlignment="1">
      <alignment horizontal="left" indent="1"/>
    </xf>
    <xf numFmtId="167" fontId="7" fillId="6" borderId="8" xfId="5" applyNumberFormat="1" applyFill="1" applyBorder="1" applyAlignment="1">
      <alignment horizontal="right" vertical="center"/>
    </xf>
    <xf numFmtId="170" fontId="0" fillId="0" borderId="0" xfId="0" applyNumberFormat="1"/>
    <xf numFmtId="2" fontId="6" fillId="6" borderId="8" xfId="3" applyNumberFormat="1" applyFont="1" applyFill="1" applyBorder="1" applyAlignment="1">
      <alignment horizontal="right" vertical="center"/>
    </xf>
    <xf numFmtId="0" fontId="3" fillId="0" borderId="0" xfId="1" applyNumberFormat="1" applyAlignment="1">
      <alignment horizontal="center"/>
    </xf>
    <xf numFmtId="0" fontId="4" fillId="0" borderId="1" xfId="2" applyNumberFormat="1" applyFont="1">
      <alignment horizontal="right" vertical="center"/>
    </xf>
    <xf numFmtId="166" fontId="7" fillId="3" borderId="68" xfId="8" applyNumberFormat="1" applyFill="1" applyBorder="1" applyAlignment="1">
      <alignment horizontal="right"/>
    </xf>
    <xf numFmtId="166" fontId="7" fillId="3" borderId="69" xfId="8" applyNumberFormat="1" applyFill="1" applyBorder="1" applyAlignment="1">
      <alignment horizontal="right"/>
    </xf>
    <xf numFmtId="166" fontId="7" fillId="3" borderId="67" xfId="8" applyNumberFormat="1" applyFill="1" applyBorder="1" applyAlignment="1">
      <alignment horizontal="right"/>
    </xf>
    <xf numFmtId="166" fontId="13" fillId="6" borderId="0" xfId="7" applyNumberFormat="1" applyFill="1"/>
    <xf numFmtId="164" fontId="7" fillId="3" borderId="29" xfId="5" applyNumberFormat="1" applyFill="1" applyBorder="1" applyAlignment="1">
      <alignment horizontal="right"/>
    </xf>
    <xf numFmtId="164" fontId="7" fillId="3" borderId="28" xfId="8" applyNumberFormat="1" applyFill="1" applyBorder="1" applyAlignment="1">
      <alignment horizontal="right"/>
    </xf>
    <xf numFmtId="164" fontId="7" fillId="3" borderId="6" xfId="8" applyNumberFormat="1" applyFill="1" applyAlignment="1">
      <alignment horizontal="right"/>
    </xf>
    <xf numFmtId="164" fontId="7" fillId="3" borderId="40" xfId="8" applyNumberFormat="1" applyFill="1" applyBorder="1" applyAlignment="1">
      <alignment horizontal="right"/>
    </xf>
    <xf numFmtId="164" fontId="7" fillId="3" borderId="43" xfId="8" applyNumberFormat="1" applyFill="1" applyBorder="1" applyAlignment="1">
      <alignment horizontal="right"/>
    </xf>
    <xf numFmtId="164" fontId="6" fillId="3" borderId="17" xfId="5" applyNumberFormat="1" applyFont="1" applyFill="1" applyBorder="1" applyAlignment="1"/>
    <xf numFmtId="0" fontId="6" fillId="3" borderId="18" xfId="5" applyNumberFormat="1" applyFont="1" applyFill="1" applyBorder="1" applyAlignment="1"/>
    <xf numFmtId="9" fontId="7" fillId="3" borderId="18" xfId="5" applyNumberFormat="1" applyFill="1" applyBorder="1" applyAlignment="1">
      <alignment horizontal="right"/>
    </xf>
    <xf numFmtId="9" fontId="7" fillId="3" borderId="30" xfId="5" applyNumberFormat="1" applyFill="1" applyBorder="1" applyAlignment="1">
      <alignment horizontal="right"/>
    </xf>
    <xf numFmtId="0" fontId="6" fillId="3" borderId="16" xfId="5" applyNumberFormat="1" applyFont="1" applyFill="1" applyBorder="1" applyAlignment="1"/>
    <xf numFmtId="0" fontId="23" fillId="0" borderId="29" xfId="2" applyNumberFormat="1" applyFont="1" applyBorder="1">
      <alignment horizontal="right" vertical="center"/>
    </xf>
    <xf numFmtId="37" fontId="6" fillId="4" borderId="6" xfId="8" applyNumberFormat="1" applyFont="1" applyAlignment="1">
      <alignment horizontal="right" vertical="center"/>
    </xf>
    <xf numFmtId="0" fontId="6" fillId="3" borderId="6" xfId="5" applyNumberFormat="1" applyFont="1" applyAlignment="1">
      <alignment horizontal="left" vertical="center"/>
    </xf>
    <xf numFmtId="164" fontId="6" fillId="3" borderId="6" xfId="5" applyNumberFormat="1" applyFont="1" applyAlignment="1">
      <alignment horizontal="right" vertical="center"/>
    </xf>
    <xf numFmtId="0" fontId="6" fillId="0" borderId="7" xfId="5" applyNumberFormat="1" applyFont="1" applyFill="1" applyBorder="1" applyAlignment="1">
      <alignment horizontal="left" vertical="center"/>
    </xf>
    <xf numFmtId="164" fontId="6" fillId="6" borderId="8" xfId="5" applyNumberFormat="1" applyFont="1" applyFill="1" applyBorder="1" applyAlignment="1">
      <alignment horizontal="right" vertical="center"/>
    </xf>
    <xf numFmtId="164" fontId="6" fillId="0" borderId="8" xfId="5" applyNumberFormat="1" applyFont="1" applyFill="1" applyBorder="1" applyAlignment="1">
      <alignment horizontal="right" vertical="center"/>
    </xf>
    <xf numFmtId="165" fontId="7" fillId="4" borderId="6" xfId="8" applyNumberFormat="1" applyAlignment="1">
      <alignment horizontal="right"/>
    </xf>
    <xf numFmtId="165" fontId="7" fillId="4" borderId="13" xfId="8" applyNumberFormat="1" applyBorder="1" applyAlignment="1">
      <alignment horizontal="right"/>
    </xf>
    <xf numFmtId="49" fontId="37" fillId="0" borderId="1" xfId="9" applyFont="1" applyFill="1" applyAlignment="1"/>
    <xf numFmtId="172" fontId="7" fillId="10" borderId="17" xfId="5" applyNumberFormat="1" applyFill="1" applyBorder="1" applyAlignment="1">
      <alignment horizontal="right" wrapText="1"/>
    </xf>
    <xf numFmtId="37" fontId="6" fillId="2" borderId="4" xfId="4" applyNumberFormat="1" applyFont="1" applyBorder="1" applyAlignment="1">
      <alignment horizontal="right" vertical="center"/>
    </xf>
    <xf numFmtId="37" fontId="7" fillId="4" borderId="6" xfId="8" applyNumberFormat="1" applyAlignment="1">
      <alignment horizontal="right" vertical="center"/>
    </xf>
    <xf numFmtId="2" fontId="6" fillId="2" borderId="7" xfId="4" applyNumberFormat="1" applyFont="1" applyBorder="1" applyAlignment="1">
      <alignment horizontal="right" vertical="center"/>
    </xf>
    <xf numFmtId="167" fontId="7" fillId="2" borderId="7" xfId="4" applyNumberFormat="1" applyBorder="1" applyAlignment="1">
      <alignment horizontal="right" vertical="center"/>
    </xf>
    <xf numFmtId="164" fontId="6" fillId="2" borderId="7" xfId="4" applyNumberFormat="1" applyFont="1" applyBorder="1" applyAlignment="1">
      <alignment horizontal="right" vertical="center"/>
    </xf>
    <xf numFmtId="164" fontId="7" fillId="2" borderId="13" xfId="4" applyNumberFormat="1" applyBorder="1" applyAlignment="1">
      <alignment horizontal="right" vertical="center"/>
    </xf>
    <xf numFmtId="37" fontId="7" fillId="3" borderId="6" xfId="5" applyNumberFormat="1" applyAlignment="1">
      <alignment horizontal="right" vertical="center"/>
    </xf>
    <xf numFmtId="167" fontId="7" fillId="3" borderId="6" xfId="5" applyNumberFormat="1" applyAlignment="1">
      <alignment horizontal="right" vertical="center"/>
    </xf>
    <xf numFmtId="49" fontId="13" fillId="0" borderId="0" xfId="7" applyNumberFormat="1" applyAlignment="1">
      <alignment horizontal="right"/>
    </xf>
    <xf numFmtId="166" fontId="13" fillId="6" borderId="0" xfId="7" applyNumberFormat="1" applyFill="1" applyAlignment="1">
      <alignment horizontal="right"/>
    </xf>
    <xf numFmtId="0" fontId="7" fillId="3" borderId="16" xfId="5" applyNumberFormat="1" applyFill="1" applyBorder="1" applyAlignment="1">
      <alignment horizontal="right"/>
    </xf>
    <xf numFmtId="0" fontId="7" fillId="6" borderId="18" xfId="5" applyNumberFormat="1" applyFill="1" applyBorder="1" applyAlignment="1">
      <alignment horizontal="right"/>
    </xf>
    <xf numFmtId="0" fontId="7" fillId="3" borderId="14" xfId="5" applyNumberFormat="1" applyFill="1" applyBorder="1" applyAlignment="1">
      <alignment horizontal="right"/>
    </xf>
    <xf numFmtId="0" fontId="7" fillId="3" borderId="26" xfId="5" applyNumberFormat="1" applyFill="1" applyBorder="1" applyAlignment="1">
      <alignment horizontal="right"/>
    </xf>
    <xf numFmtId="0" fontId="7" fillId="3" borderId="27" xfId="5" applyNumberFormat="1" applyFill="1" applyBorder="1" applyAlignment="1">
      <alignment horizontal="right"/>
    </xf>
    <xf numFmtId="0" fontId="6" fillId="0" borderId="8" xfId="3" applyNumberFormat="1" applyFont="1" applyFill="1" applyBorder="1" applyAlignment="1">
      <alignment horizontal="right" vertical="center"/>
    </xf>
    <xf numFmtId="2" fontId="6" fillId="3" borderId="6" xfId="5" applyNumberFormat="1" applyFont="1" applyAlignment="1">
      <alignment horizontal="right" vertical="center"/>
    </xf>
    <xf numFmtId="37" fontId="6" fillId="3" borderId="6" xfId="5" applyNumberFormat="1" applyFont="1" applyAlignment="1">
      <alignment horizontal="right" vertical="center"/>
    </xf>
    <xf numFmtId="0" fontId="7" fillId="3" borderId="6" xfId="8" applyNumberFormat="1" applyFill="1" applyAlignment="1">
      <alignment horizontal="right"/>
    </xf>
    <xf numFmtId="0" fontId="7" fillId="3" borderId="68" xfId="8" applyNumberFormat="1" applyFill="1" applyBorder="1" applyAlignment="1">
      <alignment horizontal="right"/>
    </xf>
    <xf numFmtId="0" fontId="7" fillId="3" borderId="69" xfId="8" applyNumberFormat="1" applyFill="1" applyBorder="1" applyAlignment="1">
      <alignment horizontal="right"/>
    </xf>
    <xf numFmtId="0" fontId="7" fillId="3" borderId="67" xfId="8" applyNumberFormat="1" applyFill="1" applyBorder="1" applyAlignment="1">
      <alignment horizontal="right"/>
    </xf>
    <xf numFmtId="0" fontId="7" fillId="3" borderId="53" xfId="8" applyNumberFormat="1" applyFill="1" applyBorder="1" applyAlignment="1">
      <alignment horizontal="right"/>
    </xf>
    <xf numFmtId="0" fontId="7" fillId="3" borderId="14" xfId="8" applyNumberFormat="1" applyFill="1" applyBorder="1" applyAlignment="1">
      <alignment horizontal="right"/>
    </xf>
    <xf numFmtId="0" fontId="7" fillId="3" borderId="13" xfId="8" applyNumberFormat="1" applyFill="1" applyBorder="1" applyAlignment="1">
      <alignment horizontal="right"/>
    </xf>
    <xf numFmtId="0" fontId="6" fillId="6" borderId="10" xfId="3" applyNumberFormat="1" applyFill="1" applyBorder="1" applyAlignment="1">
      <alignment horizontal="right"/>
    </xf>
    <xf numFmtId="0" fontId="6" fillId="0" borderId="10" xfId="3" applyNumberFormat="1" applyBorder="1" applyAlignment="1">
      <alignment horizontal="right"/>
    </xf>
    <xf numFmtId="2" fontId="6" fillId="6" borderId="8" xfId="5" applyNumberFormat="1" applyFont="1" applyFill="1" applyBorder="1" applyAlignment="1">
      <alignment horizontal="right" vertical="center"/>
    </xf>
    <xf numFmtId="2" fontId="6" fillId="0" borderId="8" xfId="5" applyNumberFormat="1" applyFont="1" applyFill="1" applyBorder="1" applyAlignment="1">
      <alignment horizontal="right" vertical="center"/>
    </xf>
    <xf numFmtId="171" fontId="7" fillId="3" borderId="34" xfId="8" applyNumberFormat="1" applyFill="1" applyBorder="1" applyAlignment="1">
      <alignment horizontal="right"/>
    </xf>
    <xf numFmtId="164" fontId="0" fillId="0" borderId="0" xfId="0" applyNumberFormat="1" applyFill="1"/>
    <xf numFmtId="2" fontId="0" fillId="0" borderId="0" xfId="0" applyNumberFormat="1"/>
    <xf numFmtId="2" fontId="37" fillId="2" borderId="7" xfId="4" applyNumberFormat="1" applyFont="1" applyBorder="1" applyAlignment="1">
      <alignment horizontal="right" vertical="center"/>
    </xf>
    <xf numFmtId="0" fontId="58" fillId="0" borderId="0" xfId="0" applyFont="1"/>
    <xf numFmtId="37" fontId="0" fillId="0" borderId="0" xfId="0" applyNumberFormat="1"/>
    <xf numFmtId="168" fontId="7" fillId="3" borderId="18" xfId="5" applyNumberFormat="1" applyFill="1" applyBorder="1" applyAlignment="1">
      <alignment horizontal="right"/>
    </xf>
    <xf numFmtId="3" fontId="7" fillId="3" borderId="27" xfId="5" applyNumberFormat="1" applyFill="1" applyBorder="1" applyAlignment="1">
      <alignment horizontal="right"/>
    </xf>
    <xf numFmtId="3" fontId="7" fillId="3" borderId="27" xfId="5" quotePrefix="1" applyNumberFormat="1" applyFill="1" applyBorder="1" applyAlignment="1">
      <alignment horizontal="right"/>
    </xf>
    <xf numFmtId="0" fontId="7" fillId="10" borderId="27" xfId="5" applyNumberFormat="1" applyFill="1" applyBorder="1" applyAlignment="1">
      <alignment horizontal="right"/>
    </xf>
    <xf numFmtId="3" fontId="7" fillId="3" borderId="18" xfId="5" applyNumberFormat="1" applyFill="1" applyBorder="1" applyAlignment="1">
      <alignment horizontal="right"/>
    </xf>
    <xf numFmtId="4" fontId="7" fillId="0" borderId="17" xfId="8" applyNumberFormat="1" applyFill="1" applyBorder="1" applyAlignment="1">
      <alignment horizontal="right"/>
    </xf>
    <xf numFmtId="0" fontId="10" fillId="0" borderId="0" xfId="6" applyFill="1" applyAlignment="1">
      <alignment vertical="top"/>
    </xf>
    <xf numFmtId="0" fontId="10" fillId="0" borderId="0" xfId="6" applyFill="1" applyAlignment="1">
      <alignment vertical="top" wrapText="1"/>
    </xf>
    <xf numFmtId="0" fontId="32" fillId="0" borderId="0" xfId="6" applyFont="1" applyFill="1" applyAlignment="1">
      <alignment horizontal="left" vertical="top" wrapText="1"/>
    </xf>
    <xf numFmtId="4" fontId="7" fillId="10" borderId="17" xfId="5" applyNumberFormat="1" applyFill="1" applyBorder="1" applyAlignment="1">
      <alignment horizontal="right"/>
    </xf>
    <xf numFmtId="0" fontId="7" fillId="3" borderId="96" xfId="8" applyNumberFormat="1" applyFill="1" applyBorder="1" applyAlignment="1">
      <alignment horizontal="right"/>
    </xf>
    <xf numFmtId="0" fontId="7" fillId="3" borderId="29" xfId="8" applyNumberFormat="1" applyFill="1" applyBorder="1" applyAlignment="1">
      <alignment horizontal="right"/>
    </xf>
    <xf numFmtId="164" fontId="6" fillId="0" borderId="5" xfId="3" applyNumberFormat="1" applyFill="1" applyBorder="1" applyAlignment="1">
      <alignment horizontal="right" vertical="center"/>
    </xf>
    <xf numFmtId="164" fontId="7" fillId="0" borderId="14" xfId="5" applyNumberFormat="1" applyFill="1" applyBorder="1">
      <alignment horizontal="right" vertical="center"/>
    </xf>
    <xf numFmtId="167" fontId="7" fillId="0" borderId="8" xfId="5" applyNumberFormat="1" applyFill="1" applyBorder="1" applyAlignment="1">
      <alignment horizontal="right" vertical="center"/>
    </xf>
    <xf numFmtId="2" fontId="6" fillId="0" borderId="8" xfId="3" applyNumberFormat="1" applyFont="1" applyFill="1" applyBorder="1" applyAlignment="1">
      <alignment horizontal="right" vertical="center"/>
    </xf>
    <xf numFmtId="49" fontId="4" fillId="0" borderId="1" xfId="2" applyFont="1">
      <alignment horizontal="right" vertical="center"/>
    </xf>
    <xf numFmtId="0" fontId="7" fillId="3" borderId="15" xfId="8" applyNumberFormat="1" applyFill="1" applyBorder="1" applyAlignment="1"/>
    <xf numFmtId="0" fontId="7" fillId="3" borderId="16" xfId="8" applyNumberFormat="1" applyFill="1" applyBorder="1" applyAlignment="1"/>
    <xf numFmtId="0" fontId="7" fillId="3" borderId="28" xfId="8" applyNumberFormat="1" applyFill="1" applyBorder="1" applyAlignment="1"/>
    <xf numFmtId="170" fontId="7" fillId="3" borderId="29" xfId="8" applyNumberFormat="1" applyFill="1" applyBorder="1" applyAlignment="1">
      <alignment horizontal="right"/>
    </xf>
    <xf numFmtId="170" fontId="7" fillId="3" borderId="30" xfId="8" applyNumberFormat="1" applyFill="1" applyBorder="1" applyAlignment="1">
      <alignment horizontal="right"/>
    </xf>
    <xf numFmtId="170" fontId="7" fillId="3" borderId="0" xfId="8" applyNumberFormat="1" applyFill="1" applyBorder="1" applyAlignment="1">
      <alignment horizontal="right"/>
    </xf>
    <xf numFmtId="164" fontId="6" fillId="0" borderId="24" xfId="3" applyNumberFormat="1" applyBorder="1" applyAlignment="1">
      <alignment horizontal="right"/>
    </xf>
    <xf numFmtId="164" fontId="7" fillId="3" borderId="32" xfId="5" applyNumberFormat="1" applyBorder="1" applyAlignment="1">
      <alignment horizontal="right"/>
    </xf>
    <xf numFmtId="164" fontId="7" fillId="3" borderId="98" xfId="5" applyNumberFormat="1" applyBorder="1" applyAlignment="1">
      <alignment horizontal="right"/>
    </xf>
    <xf numFmtId="164" fontId="6" fillId="0" borderId="99" xfId="3" applyNumberFormat="1" applyBorder="1" applyAlignment="1">
      <alignment horizontal="right"/>
    </xf>
    <xf numFmtId="0" fontId="4" fillId="0" borderId="1" xfId="2" applyNumberFormat="1" applyFont="1" applyBorder="1">
      <alignment horizontal="right" vertical="center"/>
    </xf>
    <xf numFmtId="0" fontId="4" fillId="0" borderId="1" xfId="2" applyNumberFormat="1">
      <alignment horizontal="right" vertical="center"/>
    </xf>
    <xf numFmtId="164" fontId="34" fillId="6" borderId="55" xfId="9" applyNumberFormat="1" applyFont="1" applyFill="1" applyBorder="1" applyAlignment="1">
      <alignment horizontal="right"/>
    </xf>
    <xf numFmtId="0" fontId="6" fillId="5" borderId="6" xfId="0" applyFont="1" applyFill="1" applyBorder="1"/>
    <xf numFmtId="164" fontId="6" fillId="0" borderId="33" xfId="3" applyNumberFormat="1" applyBorder="1" applyAlignment="1">
      <alignment horizontal="right"/>
    </xf>
    <xf numFmtId="0" fontId="6" fillId="0" borderId="44" xfId="3" applyBorder="1" applyAlignment="1">
      <alignment horizontal="right"/>
    </xf>
    <xf numFmtId="164" fontId="7" fillId="3" borderId="30" xfId="5" applyNumberFormat="1" applyFill="1" applyBorder="1" applyAlignment="1">
      <alignment horizontal="right"/>
    </xf>
    <xf numFmtId="0" fontId="10" fillId="0" borderId="0" xfId="0" applyFont="1"/>
    <xf numFmtId="0" fontId="4" fillId="0" borderId="0" xfId="2" applyNumberFormat="1" applyBorder="1">
      <alignment horizontal="right" vertical="center"/>
    </xf>
    <xf numFmtId="164" fontId="7" fillId="3" borderId="6" xfId="5" applyNumberFormat="1" applyAlignment="1"/>
    <xf numFmtId="164" fontId="7" fillId="3" borderId="6" xfId="5" applyNumberFormat="1" applyAlignment="1">
      <alignment horizontal="right"/>
    </xf>
    <xf numFmtId="164" fontId="20" fillId="7" borderId="1" xfId="9" applyNumberFormat="1" applyAlignment="1">
      <alignment horizontal="right"/>
    </xf>
    <xf numFmtId="164" fontId="6" fillId="4" borderId="93" xfId="709" applyNumberFormat="1" applyBorder="1" applyAlignment="1">
      <alignment horizontal="right"/>
    </xf>
    <xf numFmtId="49" fontId="4" fillId="0" borderId="2" xfId="2" applyBorder="1">
      <alignment horizontal="right" vertical="center"/>
    </xf>
    <xf numFmtId="49" fontId="4" fillId="0" borderId="0" xfId="2" applyBorder="1">
      <alignment horizontal="right" vertical="center"/>
    </xf>
    <xf numFmtId="164" fontId="20" fillId="7" borderId="37" xfId="9" applyNumberFormat="1" applyBorder="1" applyAlignment="1">
      <alignment horizontal="right"/>
    </xf>
    <xf numFmtId="0" fontId="7" fillId="3" borderId="18" xfId="5" applyNumberFormat="1" applyBorder="1" applyAlignment="1">
      <alignment horizontal="right"/>
    </xf>
    <xf numFmtId="164" fontId="20" fillId="7" borderId="39" xfId="9" applyNumberFormat="1" applyBorder="1" applyAlignment="1">
      <alignment horizontal="right"/>
    </xf>
    <xf numFmtId="9" fontId="20" fillId="7" borderId="38" xfId="9" applyNumberFormat="1" applyBorder="1" applyAlignment="1">
      <alignment horizontal="right"/>
    </xf>
    <xf numFmtId="164" fontId="7" fillId="3" borderId="17" xfId="8" applyNumberFormat="1" applyFill="1" applyBorder="1" applyAlignment="1">
      <alignment horizontal="right"/>
    </xf>
    <xf numFmtId="164" fontId="7" fillId="3" borderId="17" xfId="5" applyNumberFormat="1" applyFill="1" applyBorder="1" applyAlignment="1">
      <alignment horizontal="right"/>
    </xf>
    <xf numFmtId="0" fontId="10" fillId="0" borderId="0" xfId="6" applyAlignment="1">
      <alignment vertical="top"/>
    </xf>
    <xf numFmtId="0" fontId="4" fillId="0" borderId="39" xfId="2" applyNumberFormat="1" applyBorder="1">
      <alignment horizontal="right" vertical="center"/>
    </xf>
    <xf numFmtId="0" fontId="23" fillId="0" borderId="30" xfId="2" applyNumberFormat="1" applyFont="1" applyBorder="1">
      <alignment horizontal="right" vertical="center"/>
    </xf>
    <xf numFmtId="49" fontId="23" fillId="0" borderId="2" xfId="2" applyFont="1" applyBorder="1">
      <alignment horizontal="right" vertical="center"/>
    </xf>
    <xf numFmtId="49" fontId="23" fillId="0" borderId="0" xfId="2" applyFont="1" applyBorder="1">
      <alignment horizontal="right" vertical="center"/>
    </xf>
    <xf numFmtId="164" fontId="7" fillId="0" borderId="17" xfId="8" applyNumberFormat="1" applyFill="1" applyBorder="1" applyAlignment="1">
      <alignment horizontal="right"/>
    </xf>
    <xf numFmtId="164" fontId="7" fillId="0" borderId="29" xfId="8" applyNumberFormat="1" applyFill="1" applyBorder="1" applyAlignment="1">
      <alignment horizontal="right"/>
    </xf>
    <xf numFmtId="0" fontId="7" fillId="0" borderId="15" xfId="8" applyNumberFormat="1" applyFill="1" applyBorder="1" applyAlignment="1"/>
    <xf numFmtId="167" fontId="20" fillId="7" borderId="37" xfId="9" applyNumberFormat="1" applyBorder="1" applyAlignment="1">
      <alignment horizontal="right"/>
    </xf>
    <xf numFmtId="0" fontId="4" fillId="0" borderId="1" xfId="2" applyNumberFormat="1" applyBorder="1">
      <alignment horizontal="right" vertical="center"/>
    </xf>
    <xf numFmtId="0" fontId="7" fillId="3" borderId="6" xfId="5" applyNumberFormat="1" applyAlignment="1"/>
    <xf numFmtId="0" fontId="19" fillId="0" borderId="0" xfId="0" applyFont="1"/>
    <xf numFmtId="0" fontId="7" fillId="3" borderId="0" xfId="5" applyNumberFormat="1" applyBorder="1" applyAlignment="1"/>
    <xf numFmtId="164" fontId="7" fillId="3" borderId="18" xfId="5" applyNumberFormat="1" applyBorder="1" applyAlignment="1">
      <alignment horizontal="right"/>
    </xf>
    <xf numFmtId="164" fontId="7" fillId="3" borderId="30" xfId="5" applyNumberFormat="1" applyBorder="1" applyAlignment="1">
      <alignment horizontal="right"/>
    </xf>
    <xf numFmtId="0" fontId="4" fillId="0" borderId="2" xfId="2" applyNumberFormat="1" applyBorder="1">
      <alignment horizontal="right" vertical="center"/>
    </xf>
    <xf numFmtId="0" fontId="7" fillId="3" borderId="13" xfId="5" applyNumberFormat="1" applyBorder="1" applyAlignment="1"/>
    <xf numFmtId="0" fontId="6" fillId="3" borderId="94" xfId="5" applyNumberFormat="1" applyFont="1" applyBorder="1" applyAlignment="1"/>
    <xf numFmtId="0" fontId="7" fillId="3" borderId="94" xfId="5" applyNumberFormat="1" applyBorder="1" applyAlignment="1"/>
    <xf numFmtId="167" fontId="0" fillId="0" borderId="0" xfId="0" applyNumberFormat="1"/>
    <xf numFmtId="0" fontId="32" fillId="0" borderId="0" xfId="0" applyNumberFormat="1" applyFont="1" applyFill="1" applyBorder="1" applyAlignment="1">
      <alignment horizontal="justify" vertical="top" wrapText="1"/>
    </xf>
    <xf numFmtId="9" fontId="7" fillId="3" borderId="17" xfId="8" applyNumberFormat="1" applyFill="1" applyBorder="1" applyAlignment="1">
      <alignment horizontal="right"/>
    </xf>
    <xf numFmtId="0" fontId="7" fillId="3" borderId="17" xfId="8" applyNumberFormat="1" applyFill="1" applyBorder="1" applyAlignment="1">
      <alignment horizontal="right"/>
    </xf>
    <xf numFmtId="164" fontId="7" fillId="10" borderId="17" xfId="5" applyNumberFormat="1" applyFill="1" applyBorder="1" applyAlignment="1">
      <alignment horizontal="right"/>
    </xf>
    <xf numFmtId="164" fontId="7" fillId="10" borderId="29" xfId="5" applyNumberFormat="1" applyFill="1" applyBorder="1" applyAlignment="1">
      <alignment horizontal="right"/>
    </xf>
    <xf numFmtId="37" fontId="7" fillId="0" borderId="17" xfId="8" applyNumberFormat="1" applyFill="1" applyBorder="1" applyAlignment="1">
      <alignment horizontal="right"/>
    </xf>
    <xf numFmtId="37" fontId="7" fillId="0" borderId="29" xfId="8" applyNumberFormat="1" applyFill="1" applyBorder="1" applyAlignment="1">
      <alignment horizontal="right"/>
    </xf>
    <xf numFmtId="37" fontId="7" fillId="3" borderId="17" xfId="8" applyNumberFormat="1" applyFill="1" applyBorder="1" applyAlignment="1">
      <alignment horizontal="right"/>
    </xf>
    <xf numFmtId="37" fontId="7" fillId="3" borderId="29" xfId="8" applyNumberFormat="1" applyFill="1" applyBorder="1" applyAlignment="1">
      <alignment horizontal="right"/>
    </xf>
    <xf numFmtId="37" fontId="7" fillId="3" borderId="15" xfId="8" applyNumberFormat="1" applyFill="1" applyBorder="1" applyAlignment="1">
      <alignment horizontal="right"/>
    </xf>
    <xf numFmtId="37" fontId="7" fillId="0" borderId="15" xfId="8" applyNumberFormat="1" applyFill="1" applyBorder="1" applyAlignment="1">
      <alignment horizontal="right"/>
    </xf>
    <xf numFmtId="37" fontId="6" fillId="3" borderId="100" xfId="0" applyNumberFormat="1" applyFont="1" applyFill="1" applyBorder="1" applyAlignment="1">
      <alignment horizontal="right"/>
    </xf>
    <xf numFmtId="37" fontId="6" fillId="0" borderId="100" xfId="0" applyNumberFormat="1" applyFont="1" applyFill="1" applyBorder="1" applyAlignment="1">
      <alignment horizontal="right"/>
    </xf>
    <xf numFmtId="164" fontId="6" fillId="10" borderId="101" xfId="5" applyNumberFormat="1" applyFont="1" applyFill="1" applyBorder="1" applyAlignment="1">
      <alignment horizontal="right"/>
    </xf>
    <xf numFmtId="173" fontId="7" fillId="3" borderId="17" xfId="8" applyNumberFormat="1" applyFill="1" applyBorder="1" applyAlignment="1">
      <alignment horizontal="right"/>
    </xf>
    <xf numFmtId="39" fontId="7" fillId="10" borderId="96" xfId="5" applyNumberFormat="1" applyFill="1" applyBorder="1" applyAlignment="1">
      <alignment horizontal="right"/>
    </xf>
    <xf numFmtId="39" fontId="7" fillId="3" borderId="96" xfId="8" applyNumberFormat="1" applyFill="1" applyBorder="1" applyAlignment="1">
      <alignment horizontal="right"/>
    </xf>
    <xf numFmtId="39" fontId="7" fillId="0" borderId="96" xfId="8" applyNumberFormat="1" applyFill="1" applyBorder="1" applyAlignment="1">
      <alignment horizontal="right"/>
    </xf>
    <xf numFmtId="9" fontId="7" fillId="10" borderId="17" xfId="5" applyNumberFormat="1" applyFill="1" applyBorder="1" applyAlignment="1">
      <alignment horizontal="right"/>
    </xf>
    <xf numFmtId="39" fontId="6" fillId="10" borderId="101" xfId="5" applyNumberFormat="1" applyFont="1" applyFill="1" applyBorder="1" applyAlignment="1">
      <alignment horizontal="right"/>
    </xf>
    <xf numFmtId="39" fontId="7" fillId="10" borderId="17" xfId="5" applyNumberFormat="1" applyFill="1" applyBorder="1" applyAlignment="1">
      <alignment horizontal="right"/>
    </xf>
    <xf numFmtId="39" fontId="7" fillId="3" borderId="17" xfId="8" applyNumberFormat="1" applyFill="1" applyBorder="1" applyAlignment="1">
      <alignment horizontal="right"/>
    </xf>
    <xf numFmtId="39" fontId="7" fillId="0" borderId="17" xfId="8" applyNumberFormat="1" applyFill="1" applyBorder="1" applyAlignment="1">
      <alignment horizontal="right"/>
    </xf>
    <xf numFmtId="39" fontId="7" fillId="10" borderId="29" xfId="5" applyNumberFormat="1" applyFill="1" applyBorder="1" applyAlignment="1">
      <alignment horizontal="right"/>
    </xf>
    <xf numFmtId="39" fontId="7" fillId="3" borderId="29" xfId="8" applyNumberFormat="1" applyFill="1" applyBorder="1" applyAlignment="1">
      <alignment horizontal="right"/>
    </xf>
    <xf numFmtId="39" fontId="7" fillId="0" borderId="29" xfId="8" applyNumberFormat="1" applyFill="1" applyBorder="1" applyAlignment="1">
      <alignment horizontal="right"/>
    </xf>
    <xf numFmtId="39" fontId="6" fillId="3" borderId="100" xfId="0" applyNumberFormat="1" applyFont="1" applyFill="1" applyBorder="1" applyAlignment="1">
      <alignment horizontal="right"/>
    </xf>
    <xf numFmtId="39" fontId="6" fillId="0" borderId="100" xfId="0" applyNumberFormat="1" applyFont="1" applyFill="1" applyBorder="1" applyAlignment="1">
      <alignment horizontal="right"/>
    </xf>
    <xf numFmtId="169" fontId="7" fillId="10" borderId="17" xfId="5" applyNumberFormat="1" applyFill="1" applyBorder="1" applyAlignment="1">
      <alignment horizontal="right"/>
    </xf>
    <xf numFmtId="169" fontId="7" fillId="3" borderId="17" xfId="8" applyNumberFormat="1" applyFill="1" applyBorder="1" applyAlignment="1">
      <alignment horizontal="right"/>
    </xf>
    <xf numFmtId="169" fontId="7" fillId="0" borderId="17" xfId="8" applyNumberFormat="1" applyFill="1" applyBorder="1" applyAlignment="1">
      <alignment horizontal="right"/>
    </xf>
    <xf numFmtId="169" fontId="7" fillId="10" borderId="29" xfId="5" applyNumberFormat="1" applyFill="1" applyBorder="1" applyAlignment="1">
      <alignment horizontal="right"/>
    </xf>
    <xf numFmtId="169" fontId="7" fillId="3" borderId="29" xfId="8" applyNumberFormat="1" applyFill="1" applyBorder="1" applyAlignment="1">
      <alignment horizontal="right"/>
    </xf>
    <xf numFmtId="169" fontId="7" fillId="0" borderId="29" xfId="8" applyNumberFormat="1" applyFill="1" applyBorder="1" applyAlignment="1">
      <alignment horizontal="right"/>
    </xf>
    <xf numFmtId="10" fontId="7" fillId="10" borderId="53" xfId="5" applyNumberFormat="1" applyFill="1" applyBorder="1" applyAlignment="1">
      <alignment horizontal="right"/>
    </xf>
    <xf numFmtId="10" fontId="7" fillId="3" borderId="53" xfId="8" applyNumberFormat="1" applyFill="1" applyBorder="1" applyAlignment="1">
      <alignment horizontal="right"/>
    </xf>
    <xf numFmtId="39" fontId="6" fillId="3" borderId="102" xfId="709" applyNumberFormat="1" applyFont="1" applyFill="1" applyBorder="1" applyAlignment="1">
      <alignment horizontal="right"/>
    </xf>
    <xf numFmtId="39" fontId="6" fillId="0" borderId="102" xfId="709" applyNumberFormat="1" applyFont="1" applyFill="1" applyBorder="1" applyAlignment="1">
      <alignment horizontal="right"/>
    </xf>
    <xf numFmtId="39" fontId="6" fillId="3" borderId="95" xfId="5" applyNumberFormat="1" applyFont="1" applyBorder="1" applyAlignment="1">
      <alignment horizontal="right"/>
    </xf>
    <xf numFmtId="20" fontId="7" fillId="3" borderId="6" xfId="5" applyNumberFormat="1" applyAlignment="1"/>
    <xf numFmtId="49" fontId="4" fillId="0" borderId="1" xfId="2" applyBorder="1">
      <alignment horizontal="right" vertical="center"/>
    </xf>
    <xf numFmtId="37" fontId="7" fillId="3" borderId="18" xfId="5" applyNumberFormat="1" applyBorder="1" applyAlignment="1">
      <alignment horizontal="right"/>
    </xf>
    <xf numFmtId="37" fontId="7" fillId="3" borderId="30" xfId="5" applyNumberFormat="1" applyBorder="1" applyAlignment="1">
      <alignment horizontal="right"/>
    </xf>
    <xf numFmtId="37" fontId="7" fillId="3" borderId="16" xfId="5" applyNumberFormat="1" applyBorder="1" applyAlignment="1">
      <alignment horizontal="right"/>
    </xf>
    <xf numFmtId="37" fontId="6" fillId="3" borderId="94" xfId="5" applyNumberFormat="1" applyFont="1" applyBorder="1" applyAlignment="1">
      <alignment horizontal="right"/>
    </xf>
    <xf numFmtId="173" fontId="7" fillId="0" borderId="17" xfId="8" applyNumberFormat="1" applyFill="1" applyBorder="1" applyAlignment="1">
      <alignment horizontal="right"/>
    </xf>
    <xf numFmtId="39" fontId="7" fillId="3" borderId="97" xfId="5" applyNumberFormat="1" applyBorder="1" applyAlignment="1">
      <alignment horizontal="right"/>
    </xf>
    <xf numFmtId="9" fontId="7" fillId="0" borderId="17" xfId="8" applyNumberFormat="1" applyFill="1" applyBorder="1" applyAlignment="1">
      <alignment horizontal="right"/>
    </xf>
    <xf numFmtId="39" fontId="6" fillId="3" borderId="94" xfId="5" applyNumberFormat="1" applyFont="1" applyBorder="1" applyAlignment="1">
      <alignment horizontal="right"/>
    </xf>
    <xf numFmtId="39" fontId="7" fillId="3" borderId="18" xfId="5" applyNumberFormat="1" applyBorder="1" applyAlignment="1">
      <alignment horizontal="right"/>
    </xf>
    <xf numFmtId="39" fontId="7" fillId="3" borderId="30" xfId="5" applyNumberFormat="1" applyBorder="1" applyAlignment="1">
      <alignment horizontal="right"/>
    </xf>
    <xf numFmtId="169" fontId="7" fillId="3" borderId="18" xfId="5" applyNumberFormat="1" applyBorder="1" applyAlignment="1">
      <alignment horizontal="right"/>
    </xf>
    <xf numFmtId="169" fontId="7" fillId="3" borderId="30" xfId="5" applyNumberFormat="1" applyBorder="1" applyAlignment="1">
      <alignment horizontal="right"/>
    </xf>
    <xf numFmtId="10" fontId="7" fillId="0" borderId="53" xfId="8" applyNumberFormat="1" applyFill="1" applyBorder="1" applyAlignment="1">
      <alignment horizontal="right"/>
    </xf>
    <xf numFmtId="49" fontId="4" fillId="0" borderId="1" xfId="2">
      <alignment horizontal="right" vertical="center"/>
    </xf>
    <xf numFmtId="49" fontId="4" fillId="0" borderId="39" xfId="2" applyBorder="1">
      <alignment horizontal="right" vertical="center"/>
    </xf>
    <xf numFmtId="164" fontId="20" fillId="7" borderId="38" xfId="9" applyNumberFormat="1" applyBorder="1" applyAlignment="1">
      <alignment horizontal="right"/>
    </xf>
    <xf numFmtId="0" fontId="0" fillId="0" borderId="30" xfId="0" applyBorder="1"/>
    <xf numFmtId="164" fontId="6" fillId="4" borderId="90" xfId="709" applyAlignment="1"/>
    <xf numFmtId="164" fontId="6" fillId="4" borderId="92" xfId="709" applyNumberFormat="1" applyBorder="1" applyAlignment="1">
      <alignment horizontal="right"/>
    </xf>
    <xf numFmtId="164" fontId="6" fillId="4" borderId="91" xfId="709" applyBorder="1" applyAlignment="1"/>
    <xf numFmtId="164" fontId="6" fillId="4" borderId="42" xfId="709" applyNumberFormat="1" applyBorder="1" applyAlignment="1">
      <alignment horizontal="right"/>
    </xf>
    <xf numFmtId="0" fontId="0" fillId="0" borderId="0" xfId="0" applyAlignment="1"/>
    <xf numFmtId="164" fontId="6" fillId="4" borderId="91" xfId="709" applyNumberFormat="1" applyBorder="1" applyAlignment="1">
      <alignment horizontal="right"/>
    </xf>
    <xf numFmtId="0" fontId="7" fillId="3" borderId="6" xfId="5" applyNumberFormat="1" applyBorder="1" applyAlignment="1"/>
    <xf numFmtId="164" fontId="6" fillId="4" borderId="92" xfId="709" applyNumberFormat="1" applyFont="1" applyBorder="1" applyAlignment="1">
      <alignment horizontal="right"/>
    </xf>
    <xf numFmtId="0" fontId="0" fillId="0" borderId="0" xfId="0" applyFont="1"/>
    <xf numFmtId="164" fontId="7" fillId="10" borderId="17" xfId="5" applyNumberFormat="1" applyFont="1" applyFill="1" applyBorder="1" applyAlignment="1">
      <alignment horizontal="right"/>
    </xf>
    <xf numFmtId="0" fontId="6" fillId="0" borderId="103" xfId="3" applyNumberFormat="1" applyBorder="1" applyAlignment="1"/>
    <xf numFmtId="0" fontId="34" fillId="0" borderId="0" xfId="0" applyFont="1"/>
    <xf numFmtId="0" fontId="34" fillId="0" borderId="0" xfId="0" applyFont="1" applyAlignment="1">
      <alignment horizontal="right"/>
    </xf>
    <xf numFmtId="0" fontId="7" fillId="0" borderId="0" xfId="0" applyFont="1"/>
    <xf numFmtId="39" fontId="7" fillId="3" borderId="6" xfId="5" applyNumberFormat="1" applyAlignment="1">
      <alignment horizontal="right"/>
    </xf>
    <xf numFmtId="169" fontId="7" fillId="3" borderId="6" xfId="5" applyNumberFormat="1" applyAlignment="1">
      <alignment horizontal="right"/>
    </xf>
    <xf numFmtId="2" fontId="7" fillId="3" borderId="18" xfId="8" applyNumberFormat="1" applyFill="1" applyBorder="1" applyAlignment="1">
      <alignment horizontal="right"/>
    </xf>
    <xf numFmtId="2" fontId="7" fillId="3" borderId="6" xfId="8" applyNumberFormat="1" applyFill="1" applyAlignment="1">
      <alignment horizontal="right"/>
    </xf>
    <xf numFmtId="0" fontId="3" fillId="0" borderId="0" xfId="1" applyNumberFormat="1">
      <alignment horizontal="left"/>
    </xf>
    <xf numFmtId="0" fontId="10" fillId="0" borderId="0" xfId="6">
      <alignment vertical="top"/>
    </xf>
    <xf numFmtId="0" fontId="0" fillId="0" borderId="0" xfId="0"/>
    <xf numFmtId="49" fontId="4" fillId="0" borderId="0" xfId="2" applyBorder="1" applyAlignment="1">
      <alignment horizontal="center" vertical="center"/>
    </xf>
    <xf numFmtId="0" fontId="0" fillId="0" borderId="0" xfId="0" applyBorder="1"/>
    <xf numFmtId="0" fontId="10" fillId="0" borderId="0" xfId="6" applyFont="1" applyFill="1">
      <alignment vertical="top"/>
    </xf>
    <xf numFmtId="0" fontId="10" fillId="0" borderId="0" xfId="6" applyAlignment="1">
      <alignment horizontal="left" vertical="top" wrapText="1"/>
    </xf>
    <xf numFmtId="49" fontId="32" fillId="12" borderId="0" xfId="0" applyNumberFormat="1" applyFont="1" applyFill="1" applyBorder="1" applyAlignment="1">
      <alignment horizontal="justify" vertical="top" wrapText="1"/>
    </xf>
    <xf numFmtId="0" fontId="10" fillId="0" borderId="0" xfId="6" applyFont="1" applyFill="1" applyAlignment="1">
      <alignment vertical="top"/>
    </xf>
    <xf numFmtId="49" fontId="32" fillId="0" borderId="0" xfId="0" applyNumberFormat="1" applyFont="1" applyFill="1" applyBorder="1" applyAlignment="1">
      <alignment horizontal="justify" vertical="top" wrapText="1"/>
    </xf>
    <xf numFmtId="0" fontId="32" fillId="12" borderId="0" xfId="0" applyNumberFormat="1" applyFont="1" applyFill="1" applyBorder="1" applyAlignment="1">
      <alignment horizontal="justify" vertical="top" wrapText="1"/>
    </xf>
    <xf numFmtId="0" fontId="17" fillId="0" borderId="0" xfId="0" applyFont="1"/>
    <xf numFmtId="49" fontId="27" fillId="0" borderId="82" xfId="369">
      <alignment horizontal="right" vertical="center"/>
    </xf>
    <xf numFmtId="0" fontId="10" fillId="0" borderId="0" xfId="6" applyAlignment="1">
      <alignment horizontal="left" vertical="top"/>
    </xf>
    <xf numFmtId="0" fontId="0" fillId="0" borderId="0" xfId="0" applyAlignment="1">
      <alignment wrapText="1"/>
    </xf>
    <xf numFmtId="0" fontId="32" fillId="0" borderId="0" xfId="6" applyFont="1">
      <alignment vertical="top"/>
    </xf>
    <xf numFmtId="164" fontId="6" fillId="4" borderId="91" xfId="709" applyBorder="1" applyAlignment="1">
      <alignment horizontal="right"/>
    </xf>
    <xf numFmtId="0" fontId="3" fillId="0" borderId="0" xfId="1" applyNumberFormat="1">
      <alignment horizontal="left"/>
    </xf>
    <xf numFmtId="0" fontId="10" fillId="0" borderId="0" xfId="6">
      <alignment vertical="top"/>
    </xf>
    <xf numFmtId="0" fontId="0" fillId="0" borderId="0" xfId="0"/>
    <xf numFmtId="0" fontId="0" fillId="0" borderId="0" xfId="0" applyBorder="1"/>
    <xf numFmtId="0" fontId="17" fillId="0" borderId="0" xfId="0" applyFont="1"/>
    <xf numFmtId="0" fontId="65" fillId="0" borderId="0" xfId="0" applyFont="1"/>
    <xf numFmtId="0" fontId="32" fillId="0" borderId="0" xfId="6" applyFont="1" applyFill="1" applyAlignment="1">
      <alignment horizontal="left" vertical="top"/>
    </xf>
    <xf numFmtId="0" fontId="32" fillId="0" borderId="0" xfId="6" applyFont="1" applyFill="1">
      <alignment vertical="top"/>
    </xf>
    <xf numFmtId="0" fontId="32" fillId="0" borderId="0" xfId="6" applyFont="1" applyFill="1" applyAlignment="1">
      <alignment vertical="top"/>
    </xf>
    <xf numFmtId="164" fontId="65" fillId="0" borderId="0" xfId="0" applyNumberFormat="1" applyFont="1"/>
    <xf numFmtId="164" fontId="7" fillId="0" borderId="12" xfId="5" applyNumberFormat="1" applyFont="1" applyFill="1" applyBorder="1" applyAlignment="1">
      <alignment horizontal="right" vertical="center"/>
    </xf>
    <xf numFmtId="164" fontId="7" fillId="6" borderId="12" xfId="5" applyNumberFormat="1" applyFont="1" applyFill="1" applyBorder="1" applyAlignment="1">
      <alignment horizontal="right" vertical="center"/>
    </xf>
    <xf numFmtId="164" fontId="7" fillId="3" borderId="6" xfId="5" applyNumberFormat="1" applyFont="1" applyAlignment="1">
      <alignment horizontal="right" vertical="center"/>
    </xf>
    <xf numFmtId="164" fontId="7" fillId="2" borderId="11" xfId="4" applyNumberFormat="1" applyFont="1" applyBorder="1" applyAlignment="1">
      <alignment horizontal="right" vertical="center"/>
    </xf>
    <xf numFmtId="0" fontId="7" fillId="0" borderId="11" xfId="5" applyNumberFormat="1" applyFont="1" applyFill="1" applyBorder="1" applyAlignment="1">
      <alignment horizontal="left" vertical="center"/>
    </xf>
    <xf numFmtId="164" fontId="7" fillId="0" borderId="89" xfId="5" applyNumberFormat="1" applyFont="1" applyFill="1" applyBorder="1" applyAlignment="1">
      <alignment horizontal="right" vertical="center"/>
    </xf>
    <xf numFmtId="164" fontId="7" fillId="6" borderId="89" xfId="5" applyNumberFormat="1" applyFont="1" applyFill="1" applyBorder="1" applyAlignment="1">
      <alignment horizontal="right" vertical="center"/>
    </xf>
    <xf numFmtId="164" fontId="7" fillId="2" borderId="88" xfId="4" applyNumberFormat="1" applyFont="1" applyBorder="1" applyAlignment="1">
      <alignment horizontal="right" vertical="center"/>
    </xf>
    <xf numFmtId="0" fontId="7" fillId="0" borderId="88" xfId="5" applyNumberFormat="1" applyFont="1" applyFill="1" applyBorder="1" applyAlignment="1">
      <alignment horizontal="left" vertical="center"/>
    </xf>
    <xf numFmtId="0" fontId="7" fillId="0" borderId="7" xfId="5" applyNumberFormat="1" applyFont="1" applyFill="1" applyBorder="1" applyAlignment="1">
      <alignment horizontal="left" vertical="center"/>
    </xf>
    <xf numFmtId="164" fontId="0" fillId="0" borderId="0" xfId="0" applyNumberFormat="1" applyFont="1"/>
    <xf numFmtId="0" fontId="7" fillId="3" borderId="9" xfId="0" applyFont="1" applyFill="1" applyBorder="1"/>
    <xf numFmtId="3" fontId="7" fillId="3" borderId="6" xfId="5" applyNumberFormat="1" applyFill="1" applyAlignment="1">
      <alignment horizontal="right"/>
    </xf>
    <xf numFmtId="0" fontId="7" fillId="3" borderId="59" xfId="0" applyFont="1" applyFill="1" applyBorder="1"/>
    <xf numFmtId="3" fontId="6" fillId="3" borderId="6" xfId="5" applyNumberFormat="1" applyFont="1" applyFill="1" applyAlignment="1">
      <alignment horizontal="right"/>
    </xf>
    <xf numFmtId="0" fontId="6" fillId="6" borderId="59" xfId="0" applyFont="1" applyFill="1" applyBorder="1"/>
    <xf numFmtId="166" fontId="7" fillId="3" borderId="95" xfId="8" applyNumberFormat="1" applyFill="1" applyBorder="1" applyAlignment="1"/>
    <xf numFmtId="166" fontId="7" fillId="3" borderId="97" xfId="8" applyNumberFormat="1" applyFill="1" applyBorder="1" applyAlignment="1">
      <alignment horizontal="right"/>
    </xf>
    <xf numFmtId="166" fontId="7" fillId="3" borderId="96" xfId="8" applyNumberFormat="1" applyFill="1" applyBorder="1" applyAlignment="1">
      <alignment horizontal="right"/>
    </xf>
    <xf numFmtId="0" fontId="66" fillId="0" borderId="0" xfId="6" applyFont="1">
      <alignment vertical="top"/>
    </xf>
    <xf numFmtId="2" fontId="6" fillId="9" borderId="9" xfId="3" applyNumberFormat="1" applyFill="1" applyBorder="1" applyAlignment="1">
      <alignment horizontal="right"/>
    </xf>
    <xf numFmtId="164" fontId="6" fillId="6" borderId="99" xfId="3" applyNumberFormat="1" applyFill="1" applyBorder="1" applyAlignment="1">
      <alignment horizontal="right"/>
    </xf>
    <xf numFmtId="164" fontId="6" fillId="9" borderId="103" xfId="3" applyNumberFormat="1" applyFill="1" applyBorder="1" applyAlignment="1">
      <alignment horizontal="right"/>
    </xf>
    <xf numFmtId="0" fontId="7" fillId="3" borderId="98" xfId="5" applyNumberFormat="1" applyBorder="1" applyAlignment="1">
      <alignment horizontal="right"/>
    </xf>
    <xf numFmtId="0" fontId="7" fillId="3" borderId="98" xfId="5" applyNumberFormat="1" applyFill="1" applyBorder="1" applyAlignment="1">
      <alignment horizontal="right"/>
    </xf>
    <xf numFmtId="165" fontId="7" fillId="10" borderId="90" xfId="5" applyNumberFormat="1" applyFill="1" applyBorder="1" applyAlignment="1">
      <alignment horizontal="right"/>
    </xf>
    <xf numFmtId="0" fontId="7" fillId="3" borderId="90" xfId="5" applyNumberFormat="1" applyBorder="1" applyAlignment="1"/>
    <xf numFmtId="0" fontId="7" fillId="3" borderId="93" xfId="5" applyNumberFormat="1" applyBorder="1" applyAlignment="1">
      <alignment horizontal="right"/>
    </xf>
    <xf numFmtId="0" fontId="7" fillId="3" borderId="93" xfId="5" applyNumberFormat="1" applyFill="1" applyBorder="1" applyAlignment="1">
      <alignment horizontal="right"/>
    </xf>
    <xf numFmtId="164" fontId="7" fillId="3" borderId="98" xfId="5" applyNumberFormat="1" applyFill="1" applyBorder="1" applyAlignment="1">
      <alignment horizontal="right"/>
    </xf>
    <xf numFmtId="164" fontId="7" fillId="10" borderId="90" xfId="5" applyNumberFormat="1" applyFill="1" applyBorder="1" applyAlignment="1">
      <alignment horizontal="right"/>
    </xf>
    <xf numFmtId="0" fontId="7" fillId="3" borderId="31" xfId="5" applyNumberFormat="1" applyBorder="1" applyAlignment="1">
      <alignment horizontal="left"/>
    </xf>
    <xf numFmtId="0" fontId="7" fillId="3" borderId="0" xfId="5" applyNumberFormat="1" applyFill="1" applyBorder="1" applyAlignment="1"/>
    <xf numFmtId="0" fontId="7" fillId="3" borderId="6" xfId="5" applyNumberFormat="1" applyFill="1" applyAlignment="1"/>
    <xf numFmtId="0" fontId="67" fillId="0" borderId="0" xfId="0" applyFont="1" applyAlignment="1">
      <alignment horizontal="center"/>
    </xf>
    <xf numFmtId="0" fontId="58" fillId="0" borderId="0" xfId="0" applyFont="1" applyFill="1"/>
    <xf numFmtId="0" fontId="3" fillId="0" borderId="0" xfId="1" applyNumberFormat="1" applyAlignment="1">
      <alignment wrapText="1"/>
    </xf>
    <xf numFmtId="164" fontId="6" fillId="4" borderId="91" xfId="709" applyFont="1" applyBorder="1" applyAlignment="1"/>
    <xf numFmtId="49" fontId="4" fillId="6" borderId="1" xfId="2" applyFont="1" applyFill="1" applyAlignment="1">
      <alignment horizontal="right" vertical="center" wrapText="1"/>
    </xf>
    <xf numFmtId="164" fontId="6" fillId="4" borderId="42" xfId="709" applyBorder="1" applyAlignment="1">
      <alignment horizontal="right"/>
    </xf>
    <xf numFmtId="164" fontId="6" fillId="4" borderId="93" xfId="709" applyBorder="1" applyAlignment="1">
      <alignment horizontal="right"/>
    </xf>
    <xf numFmtId="164" fontId="6" fillId="4" borderId="92" xfId="709" applyBorder="1" applyAlignment="1">
      <alignment horizontal="right"/>
    </xf>
    <xf numFmtId="49" fontId="4" fillId="6" borderId="1" xfId="2" applyFont="1" applyFill="1" applyAlignment="1">
      <alignment horizontal="right" vertical="top" wrapText="1"/>
    </xf>
    <xf numFmtId="0" fontId="10" fillId="0" borderId="0" xfId="0" applyFont="1" applyAlignment="1">
      <alignment wrapText="1"/>
    </xf>
    <xf numFmtId="0" fontId="0" fillId="0" borderId="0" xfId="0" applyAlignment="1">
      <alignment horizontal="right" wrapText="1"/>
    </xf>
    <xf numFmtId="164" fontId="6" fillId="10" borderId="93" xfId="709" applyNumberFormat="1" applyFill="1" applyBorder="1" applyAlignment="1">
      <alignment horizontal="right"/>
    </xf>
    <xf numFmtId="164" fontId="6" fillId="10" borderId="91" xfId="709" applyNumberFormat="1" applyFill="1" applyBorder="1" applyAlignment="1">
      <alignment horizontal="right"/>
    </xf>
    <xf numFmtId="0" fontId="6" fillId="4" borderId="91" xfId="709" applyNumberFormat="1" applyBorder="1" applyAlignment="1"/>
    <xf numFmtId="0" fontId="58" fillId="6" borderId="0" xfId="0" applyFont="1" applyFill="1"/>
    <xf numFmtId="164" fontId="6" fillId="6" borderId="46" xfId="709" applyNumberFormat="1" applyFill="1" applyBorder="1" applyAlignment="1">
      <alignment horizontal="right"/>
    </xf>
    <xf numFmtId="164" fontId="6" fillId="9" borderId="45" xfId="709" applyNumberFormat="1" applyFill="1" applyBorder="1" applyAlignment="1">
      <alignment horizontal="right"/>
    </xf>
    <xf numFmtId="0" fontId="6" fillId="0" borderId="45" xfId="709" applyNumberFormat="1" applyFill="1" applyBorder="1" applyAlignment="1"/>
    <xf numFmtId="0" fontId="6" fillId="6" borderId="45" xfId="709" applyNumberFormat="1" applyFill="1" applyBorder="1" applyAlignment="1"/>
    <xf numFmtId="164" fontId="6" fillId="3" borderId="18" xfId="8" applyNumberFormat="1" applyFont="1" applyFill="1" applyBorder="1" applyAlignment="1">
      <alignment horizontal="right"/>
    </xf>
    <xf numFmtId="0" fontId="6" fillId="6" borderId="4" xfId="709" applyNumberFormat="1" applyFill="1" applyBorder="1" applyAlignment="1"/>
    <xf numFmtId="0" fontId="68" fillId="0" borderId="0" xfId="0" applyFont="1"/>
    <xf numFmtId="9" fontId="7" fillId="3" borderId="29" xfId="5" applyNumberFormat="1" applyFill="1" applyBorder="1" applyAlignment="1">
      <alignment horizontal="right"/>
    </xf>
    <xf numFmtId="0" fontId="6" fillId="4" borderId="91" xfId="709" applyNumberFormat="1" applyFont="1" applyBorder="1" applyAlignment="1"/>
    <xf numFmtId="167" fontId="6" fillId="4" borderId="98" xfId="709" applyNumberFormat="1" applyBorder="1" applyAlignment="1">
      <alignment horizontal="right"/>
    </xf>
    <xf numFmtId="167" fontId="6" fillId="10" borderId="92" xfId="709" applyNumberFormat="1" applyFill="1" applyBorder="1" applyAlignment="1">
      <alignment horizontal="right"/>
    </xf>
    <xf numFmtId="164" fontId="7" fillId="6" borderId="3" xfId="3" applyNumberFormat="1" applyFont="1" applyFill="1" applyAlignment="1">
      <alignment horizontal="right"/>
    </xf>
    <xf numFmtId="167" fontId="6" fillId="4" borderId="73" xfId="709" applyNumberFormat="1" applyBorder="1" applyAlignment="1">
      <alignment horizontal="right"/>
    </xf>
    <xf numFmtId="164" fontId="6" fillId="10" borderId="92" xfId="709" applyNumberFormat="1" applyFill="1" applyBorder="1" applyAlignment="1">
      <alignment horizontal="right"/>
    </xf>
    <xf numFmtId="164" fontId="7" fillId="3" borderId="6" xfId="5" applyNumberFormat="1" applyFill="1" applyAlignment="1">
      <alignment horizontal="right"/>
    </xf>
    <xf numFmtId="164" fontId="7" fillId="6" borderId="30" xfId="8" applyNumberFormat="1" applyFill="1" applyBorder="1" applyAlignment="1">
      <alignment horizontal="right"/>
    </xf>
    <xf numFmtId="164" fontId="7" fillId="6" borderId="18" xfId="8" applyNumberFormat="1" applyFill="1" applyBorder="1" applyAlignment="1">
      <alignment horizontal="right"/>
    </xf>
    <xf numFmtId="174" fontId="0" fillId="0" borderId="0" xfId="0" applyNumberFormat="1"/>
    <xf numFmtId="173" fontId="69" fillId="10" borderId="17" xfId="5" applyNumberFormat="1" applyFont="1" applyFill="1" applyBorder="1" applyAlignment="1">
      <alignment horizontal="right"/>
    </xf>
    <xf numFmtId="4" fontId="70" fillId="10" borderId="17" xfId="5" applyNumberFormat="1" applyFont="1" applyFill="1" applyBorder="1" applyAlignment="1">
      <alignment horizontal="right"/>
    </xf>
    <xf numFmtId="37" fontId="34" fillId="14" borderId="104" xfId="9" applyNumberFormat="1" applyFont="1" applyFill="1" applyBorder="1" applyAlignment="1">
      <alignment horizontal="right" vertical="center"/>
    </xf>
    <xf numFmtId="37" fontId="7" fillId="15" borderId="64" xfId="4" applyNumberFormat="1" applyFill="1" applyBorder="1">
      <alignment horizontal="right" vertical="center"/>
    </xf>
    <xf numFmtId="37" fontId="7" fillId="14" borderId="62" xfId="4" applyNumberFormat="1" applyFill="1" applyBorder="1">
      <alignment horizontal="right" vertical="center"/>
    </xf>
    <xf numFmtId="37" fontId="7" fillId="14" borderId="63" xfId="4" applyNumberFormat="1" applyFill="1" applyBorder="1">
      <alignment horizontal="right" vertical="center"/>
    </xf>
    <xf numFmtId="37" fontId="7" fillId="14" borderId="64" xfId="4" applyNumberFormat="1" applyFill="1" applyBorder="1">
      <alignment horizontal="right" vertical="center"/>
    </xf>
    <xf numFmtId="0" fontId="6" fillId="3" borderId="58" xfId="0" applyFont="1" applyFill="1" applyBorder="1"/>
    <xf numFmtId="0" fontId="6" fillId="3" borderId="0" xfId="0" applyFont="1" applyFill="1" applyBorder="1"/>
    <xf numFmtId="37" fontId="7" fillId="15" borderId="62" xfId="4" applyNumberFormat="1" applyFill="1" applyBorder="1">
      <alignment horizontal="right" vertical="center"/>
    </xf>
    <xf numFmtId="167" fontId="0" fillId="0" borderId="0" xfId="945" applyNumberFormat="1" applyFont="1"/>
    <xf numFmtId="167" fontId="7" fillId="2" borderId="29" xfId="945" applyNumberFormat="1" applyFont="1" applyFill="1" applyBorder="1" applyAlignment="1">
      <alignment horizontal="right" vertical="center"/>
    </xf>
    <xf numFmtId="167" fontId="7" fillId="2" borderId="17" xfId="945" applyNumberFormat="1" applyFont="1" applyFill="1" applyBorder="1" applyAlignment="1">
      <alignment horizontal="right" vertical="center"/>
    </xf>
    <xf numFmtId="164" fontId="7" fillId="0" borderId="0" xfId="8" applyNumberFormat="1" applyFont="1" applyFill="1" applyBorder="1" applyAlignment="1">
      <alignment horizontal="right"/>
    </xf>
    <xf numFmtId="164" fontId="7" fillId="3" borderId="0" xfId="8" applyNumberFormat="1" applyFont="1" applyFill="1" applyBorder="1" applyAlignment="1">
      <alignment horizontal="right"/>
    </xf>
    <xf numFmtId="0" fontId="32" fillId="3" borderId="0" xfId="5" quotePrefix="1" applyNumberFormat="1" applyFont="1" applyBorder="1" applyAlignment="1"/>
    <xf numFmtId="3" fontId="7" fillId="6" borderId="79" xfId="8" applyNumberFormat="1" applyFont="1" applyFill="1" applyBorder="1" applyAlignment="1">
      <alignment horizontal="right"/>
    </xf>
    <xf numFmtId="3" fontId="7" fillId="3" borderId="80" xfId="8" applyNumberFormat="1" applyFont="1" applyFill="1" applyBorder="1" applyAlignment="1">
      <alignment horizontal="right"/>
    </xf>
    <xf numFmtId="164" fontId="7" fillId="3" borderId="80" xfId="8" applyNumberFormat="1" applyFont="1" applyFill="1" applyBorder="1" applyAlignment="1">
      <alignment horizontal="right"/>
    </xf>
    <xf numFmtId="172" fontId="7" fillId="10" borderId="79" xfId="5" applyNumberFormat="1" applyFont="1" applyFill="1" applyBorder="1" applyAlignment="1">
      <alignment horizontal="right"/>
    </xf>
    <xf numFmtId="20" fontId="7" fillId="3" borderId="81" xfId="5" applyNumberFormat="1" applyFont="1" applyBorder="1" applyAlignment="1"/>
    <xf numFmtId="3" fontId="7" fillId="6" borderId="29" xfId="8" applyNumberFormat="1" applyFont="1" applyFill="1" applyBorder="1" applyAlignment="1">
      <alignment horizontal="right"/>
    </xf>
    <xf numFmtId="3" fontId="7" fillId="3" borderId="30" xfId="8" applyNumberFormat="1" applyFont="1" applyFill="1" applyBorder="1" applyAlignment="1">
      <alignment horizontal="right"/>
    </xf>
    <xf numFmtId="172" fontId="7" fillId="10" borderId="29" xfId="5" applyNumberFormat="1" applyFill="1" applyBorder="1" applyAlignment="1">
      <alignment horizontal="right" wrapText="1"/>
    </xf>
    <xf numFmtId="20" fontId="7" fillId="3" borderId="6" xfId="5" applyNumberFormat="1" applyFont="1" applyAlignment="1">
      <alignment wrapText="1"/>
    </xf>
    <xf numFmtId="3" fontId="7" fillId="6" borderId="17" xfId="8" applyNumberFormat="1" applyFont="1" applyFill="1" applyBorder="1" applyAlignment="1">
      <alignment horizontal="right"/>
    </xf>
    <xf numFmtId="3" fontId="7" fillId="3" borderId="18" xfId="8" applyNumberFormat="1" applyFont="1" applyFill="1" applyBorder="1" applyAlignment="1">
      <alignment horizontal="right"/>
    </xf>
    <xf numFmtId="0" fontId="65" fillId="0" borderId="0" xfId="0" applyFont="1" applyBorder="1"/>
    <xf numFmtId="164" fontId="7" fillId="3" borderId="6" xfId="5" applyNumberFormat="1" applyFill="1" applyBorder="1" applyAlignment="1">
      <alignment horizontal="right"/>
    </xf>
    <xf numFmtId="0" fontId="23" fillId="0" borderId="75" xfId="366" applyNumberFormat="1" applyFont="1" applyBorder="1">
      <alignment horizontal="right" vertical="center"/>
    </xf>
    <xf numFmtId="0" fontId="23" fillId="0" borderId="76" xfId="366" applyNumberFormat="1" applyFont="1" applyBorder="1">
      <alignment horizontal="right" vertical="center"/>
    </xf>
    <xf numFmtId="49" fontId="5" fillId="0" borderId="75" xfId="366" applyFont="1" applyBorder="1" applyAlignment="1">
      <alignment horizontal="left" vertical="center"/>
    </xf>
    <xf numFmtId="164" fontId="7" fillId="3" borderId="6" xfId="5" applyNumberFormat="1" applyFont="1" applyFill="1" applyAlignment="1">
      <alignment horizontal="right"/>
    </xf>
    <xf numFmtId="164" fontId="7" fillId="3" borderId="17" xfId="8" applyNumberFormat="1" applyFont="1" applyFill="1" applyBorder="1" applyAlignment="1">
      <alignment horizontal="right"/>
    </xf>
    <xf numFmtId="164" fontId="7" fillId="3" borderId="29" xfId="8" applyNumberFormat="1" applyFont="1" applyFill="1" applyBorder="1" applyAlignment="1">
      <alignment horizontal="right"/>
    </xf>
    <xf numFmtId="164" fontId="7" fillId="3" borderId="6" xfId="5" applyNumberFormat="1" applyFont="1" applyFill="1" applyAlignment="1"/>
    <xf numFmtId="3" fontId="7" fillId="6" borderId="0" xfId="8" applyNumberFormat="1" applyFont="1" applyFill="1" applyBorder="1" applyAlignment="1">
      <alignment horizontal="right"/>
    </xf>
    <xf numFmtId="3" fontId="7" fillId="3" borderId="0" xfId="8" applyNumberFormat="1" applyFont="1" applyFill="1" applyBorder="1" applyAlignment="1">
      <alignment horizontal="right"/>
    </xf>
    <xf numFmtId="172" fontId="7" fillId="0" borderId="0" xfId="5" applyNumberFormat="1" applyFont="1" applyFill="1" applyBorder="1" applyAlignment="1">
      <alignment horizontal="right"/>
    </xf>
    <xf numFmtId="20" fontId="7" fillId="3" borderId="0" xfId="5" applyNumberFormat="1" applyFont="1" applyBorder="1" applyAlignment="1"/>
    <xf numFmtId="164" fontId="7" fillId="6" borderId="17" xfId="8" applyNumberFormat="1" applyFont="1" applyFill="1" applyBorder="1" applyAlignment="1">
      <alignment horizontal="right"/>
    </xf>
    <xf numFmtId="0" fontId="0" fillId="0" borderId="0" xfId="0"/>
    <xf numFmtId="164" fontId="73" fillId="16" borderId="105" xfId="948" applyNumberFormat="1" applyBorder="1" applyAlignment="1">
      <alignment horizontal="right"/>
    </xf>
    <xf numFmtId="164" fontId="73" fillId="16" borderId="106" xfId="948" applyNumberFormat="1" applyBorder="1" applyAlignment="1">
      <alignment horizontal="right"/>
    </xf>
    <xf numFmtId="164" fontId="74" fillId="16" borderId="106" xfId="948" applyNumberFormat="1" applyFont="1" applyBorder="1" applyAlignment="1">
      <alignment horizontal="right"/>
    </xf>
    <xf numFmtId="0" fontId="75" fillId="16" borderId="107" xfId="948" applyNumberFormat="1" applyFont="1" applyBorder="1"/>
    <xf numFmtId="164" fontId="7" fillId="3" borderId="108" xfId="5" applyNumberFormat="1" applyBorder="1" applyAlignment="1">
      <alignment horizontal="right"/>
    </xf>
    <xf numFmtId="164" fontId="7" fillId="0" borderId="109" xfId="8" applyNumberFormat="1" applyFill="1" applyBorder="1" applyAlignment="1">
      <alignment horizontal="right"/>
    </xf>
    <xf numFmtId="164" fontId="7" fillId="3" borderId="109" xfId="8" applyNumberFormat="1" applyFill="1" applyBorder="1" applyAlignment="1">
      <alignment horizontal="right"/>
    </xf>
    <xf numFmtId="0" fontId="27" fillId="0" borderId="82" xfId="369" applyNumberFormat="1">
      <alignment horizontal="right" vertical="center"/>
    </xf>
    <xf numFmtId="0" fontId="27" fillId="0" borderId="110" xfId="369" applyNumberFormat="1" applyBorder="1">
      <alignment horizontal="right" vertical="center"/>
    </xf>
    <xf numFmtId="0" fontId="10" fillId="0" borderId="0" xfId="947" applyAlignment="1">
      <alignment vertical="top" wrapText="1"/>
    </xf>
    <xf numFmtId="164" fontId="73" fillId="16" borderId="107" xfId="948" applyNumberFormat="1" applyBorder="1"/>
    <xf numFmtId="166" fontId="7" fillId="3" borderId="105" xfId="5" applyNumberFormat="1" applyBorder="1" applyAlignment="1">
      <alignment horizontal="right"/>
    </xf>
    <xf numFmtId="168" fontId="7" fillId="10" borderId="106" xfId="5" applyNumberFormat="1" applyFill="1" applyBorder="1" applyAlignment="1">
      <alignment horizontal="right"/>
    </xf>
    <xf numFmtId="0" fontId="7" fillId="3" borderId="107" xfId="5" applyNumberFormat="1" applyBorder="1" applyAlignment="1"/>
    <xf numFmtId="164" fontId="7" fillId="3" borderId="83" xfId="5" applyNumberFormat="1" applyBorder="1" applyAlignment="1">
      <alignment horizontal="right"/>
    </xf>
    <xf numFmtId="164" fontId="7" fillId="10" borderId="84" xfId="5" applyNumberFormat="1" applyFill="1" applyBorder="1" applyAlignment="1">
      <alignment horizontal="right"/>
    </xf>
    <xf numFmtId="0" fontId="7" fillId="3" borderId="82" xfId="5" applyNumberFormat="1" applyBorder="1" applyAlignment="1"/>
    <xf numFmtId="164" fontId="6" fillId="3" borderId="6" xfId="5" applyNumberFormat="1" applyFont="1" applyAlignment="1">
      <alignment horizontal="right"/>
    </xf>
    <xf numFmtId="166" fontId="6" fillId="3" borderId="6" xfId="5" applyNumberFormat="1" applyFont="1" applyAlignment="1">
      <alignment horizontal="right"/>
    </xf>
    <xf numFmtId="168" fontId="6" fillId="10" borderId="17" xfId="5" applyNumberFormat="1" applyFont="1" applyFill="1" applyBorder="1" applyAlignment="1">
      <alignment horizontal="right"/>
    </xf>
    <xf numFmtId="166" fontId="6" fillId="3" borderId="108" xfId="5" applyNumberFormat="1" applyFont="1" applyBorder="1" applyAlignment="1">
      <alignment horizontal="right"/>
    </xf>
    <xf numFmtId="166" fontId="7" fillId="0" borderId="111" xfId="3" applyNumberFormat="1" applyFont="1" applyBorder="1" applyAlignment="1"/>
    <xf numFmtId="166" fontId="7" fillId="3" borderId="112" xfId="709" applyNumberFormat="1" applyFont="1" applyFill="1" applyBorder="1" applyAlignment="1"/>
    <xf numFmtId="168" fontId="7" fillId="3" borderId="112" xfId="709" applyNumberFormat="1" applyFont="1" applyFill="1" applyBorder="1" applyAlignment="1"/>
    <xf numFmtId="0" fontId="7" fillId="9" borderId="112" xfId="3" applyNumberFormat="1" applyFont="1" applyFill="1" applyBorder="1" applyAlignment="1">
      <alignment horizontal="right"/>
    </xf>
    <xf numFmtId="0" fontId="7" fillId="0" borderId="113" xfId="3" applyNumberFormat="1" applyFont="1" applyBorder="1" applyAlignment="1"/>
    <xf numFmtId="166" fontId="7" fillId="3" borderId="30" xfId="5" applyNumberFormat="1" applyBorder="1" applyAlignment="1"/>
    <xf numFmtId="166" fontId="7" fillId="0" borderId="29" xfId="8" applyNumberFormat="1" applyFill="1" applyBorder="1" applyAlignment="1"/>
    <xf numFmtId="166" fontId="7" fillId="3" borderId="29" xfId="8" applyNumberFormat="1" applyFill="1" applyBorder="1" applyAlignment="1"/>
    <xf numFmtId="0" fontId="7" fillId="3" borderId="29" xfId="8" applyNumberFormat="1" applyFill="1" applyBorder="1" applyAlignment="1"/>
    <xf numFmtId="168" fontId="7" fillId="10" borderId="29" xfId="5" applyNumberFormat="1" applyFill="1" applyBorder="1" applyAlignment="1">
      <alignment horizontal="right"/>
    </xf>
    <xf numFmtId="166" fontId="7" fillId="3" borderId="18" xfId="5" applyNumberFormat="1" applyBorder="1" applyAlignment="1"/>
    <xf numFmtId="166" fontId="7" fillId="0" borderId="17" xfId="8" applyNumberFormat="1" applyFill="1" applyBorder="1" applyAlignment="1"/>
    <xf numFmtId="166" fontId="7" fillId="3" borderId="17" xfId="8" applyNumberFormat="1" applyFill="1" applyBorder="1" applyAlignment="1"/>
    <xf numFmtId="168" fontId="7" fillId="10" borderId="17" xfId="5" applyNumberFormat="1" applyFill="1" applyBorder="1" applyAlignment="1">
      <alignment horizontal="right"/>
    </xf>
    <xf numFmtId="166" fontId="7" fillId="3" borderId="108" xfId="5" applyNumberFormat="1" applyBorder="1" applyAlignment="1"/>
    <xf numFmtId="166" fontId="7" fillId="0" borderId="109" xfId="8" applyNumberFormat="1" applyFill="1" applyBorder="1" applyAlignment="1"/>
    <xf numFmtId="166" fontId="7" fillId="3" borderId="109" xfId="8" applyNumberFormat="1" applyFill="1" applyBorder="1" applyAlignment="1"/>
    <xf numFmtId="0" fontId="7" fillId="3" borderId="109" xfId="8" applyNumberFormat="1" applyFill="1" applyBorder="1" applyAlignment="1"/>
    <xf numFmtId="0" fontId="7" fillId="10" borderId="17" xfId="5" applyNumberFormat="1" applyFill="1" applyBorder="1" applyAlignment="1">
      <alignment horizontal="right"/>
    </xf>
    <xf numFmtId="166" fontId="6" fillId="0" borderId="83" xfId="3" applyNumberFormat="1" applyBorder="1" applyAlignment="1">
      <alignment horizontal="right"/>
    </xf>
    <xf numFmtId="166" fontId="6" fillId="0" borderId="83" xfId="3" applyNumberFormat="1" applyFill="1" applyBorder="1" applyAlignment="1">
      <alignment horizontal="right"/>
    </xf>
    <xf numFmtId="166" fontId="6" fillId="0" borderId="84" xfId="709" applyNumberFormat="1" applyFill="1" applyBorder="1" applyAlignment="1">
      <alignment horizontal="right"/>
    </xf>
    <xf numFmtId="0" fontId="6" fillId="3" borderId="84" xfId="709" applyNumberFormat="1" applyFill="1" applyBorder="1" applyAlignment="1">
      <alignment horizontal="right"/>
    </xf>
    <xf numFmtId="0" fontId="6" fillId="9" borderId="84" xfId="3" applyNumberFormat="1" applyFill="1" applyBorder="1" applyAlignment="1">
      <alignment horizontal="right"/>
    </xf>
    <xf numFmtId="0" fontId="6" fillId="0" borderId="82" xfId="3" applyNumberFormat="1" applyBorder="1" applyAlignment="1"/>
    <xf numFmtId="166" fontId="6" fillId="0" borderId="114" xfId="3" applyNumberFormat="1" applyBorder="1" applyAlignment="1">
      <alignment horizontal="right"/>
    </xf>
    <xf numFmtId="166" fontId="6" fillId="0" borderId="115" xfId="3" applyNumberFormat="1" applyBorder="1" applyAlignment="1">
      <alignment horizontal="right"/>
    </xf>
    <xf numFmtId="166" fontId="6" fillId="0" borderId="116" xfId="709" applyNumberFormat="1" applyFill="1" applyBorder="1" applyAlignment="1">
      <alignment horizontal="right"/>
    </xf>
    <xf numFmtId="166" fontId="6" fillId="3" borderId="116" xfId="709" applyNumberFormat="1" applyFill="1" applyBorder="1" applyAlignment="1">
      <alignment horizontal="right"/>
    </xf>
    <xf numFmtId="0" fontId="6" fillId="3" borderId="116" xfId="709" applyNumberFormat="1" applyFill="1" applyBorder="1" applyAlignment="1">
      <alignment horizontal="right"/>
    </xf>
    <xf numFmtId="0" fontId="6" fillId="9" borderId="117" xfId="3" applyNumberFormat="1" applyFill="1" applyBorder="1" applyAlignment="1">
      <alignment horizontal="right"/>
    </xf>
    <xf numFmtId="0" fontId="6" fillId="0" borderId="3" xfId="3" applyNumberFormat="1" applyAlignment="1"/>
    <xf numFmtId="0" fontId="10" fillId="0" borderId="0" xfId="947" applyAlignment="1">
      <alignment vertical="top"/>
    </xf>
    <xf numFmtId="0" fontId="10" fillId="0" borderId="0" xfId="947" applyFont="1" applyAlignment="1">
      <alignment vertical="top"/>
    </xf>
    <xf numFmtId="164" fontId="7" fillId="0" borderId="79" xfId="8" applyNumberFormat="1" applyFill="1" applyBorder="1" applyAlignment="1">
      <alignment horizontal="right"/>
    </xf>
    <xf numFmtId="164" fontId="7" fillId="3" borderId="79" xfId="8" applyNumberFormat="1" applyFill="1" applyBorder="1" applyAlignment="1">
      <alignment horizontal="right"/>
    </xf>
    <xf numFmtId="0" fontId="7" fillId="10" borderId="79" xfId="5" applyNumberFormat="1" applyFill="1" applyBorder="1" applyAlignment="1">
      <alignment horizontal="right"/>
    </xf>
    <xf numFmtId="49" fontId="7" fillId="3" borderId="81" xfId="5" applyNumberFormat="1" applyBorder="1" applyAlignment="1"/>
    <xf numFmtId="164" fontId="6" fillId="3" borderId="118" xfId="709" applyNumberFormat="1" applyFill="1" applyBorder="1" applyAlignment="1">
      <alignment horizontal="right"/>
    </xf>
    <xf numFmtId="164" fontId="6" fillId="9" borderId="118" xfId="3" applyNumberFormat="1" applyFill="1" applyBorder="1" applyAlignment="1">
      <alignment horizontal="right"/>
    </xf>
    <xf numFmtId="0" fontId="6" fillId="0" borderId="119" xfId="3" applyNumberFormat="1" applyBorder="1" applyAlignment="1"/>
    <xf numFmtId="49" fontId="73" fillId="16" borderId="107" xfId="948" applyBorder="1" applyAlignment="1">
      <alignment horizontal="left"/>
    </xf>
    <xf numFmtId="49" fontId="7" fillId="3" borderId="6" xfId="5" applyNumberFormat="1" applyAlignment="1"/>
    <xf numFmtId="164" fontId="7" fillId="3" borderId="17" xfId="8" quotePrefix="1" applyNumberFormat="1" applyFill="1" applyBorder="1" applyAlignment="1">
      <alignment horizontal="right"/>
    </xf>
    <xf numFmtId="164" fontId="7" fillId="10" borderId="6" xfId="5" quotePrefix="1" applyNumberFormat="1" applyFill="1" applyAlignment="1">
      <alignment horizontal="right"/>
    </xf>
    <xf numFmtId="164" fontId="6" fillId="4" borderId="116" xfId="709" applyNumberFormat="1" applyBorder="1" applyAlignment="1">
      <alignment horizontal="right"/>
    </xf>
    <xf numFmtId="49" fontId="27" fillId="0" borderId="82" xfId="369" applyAlignment="1">
      <alignment horizontal="right" vertical="center"/>
    </xf>
    <xf numFmtId="0" fontId="27" fillId="0" borderId="82" xfId="369" applyNumberFormat="1" applyAlignment="1">
      <alignment horizontal="right" vertical="center"/>
    </xf>
    <xf numFmtId="0" fontId="27" fillId="0" borderId="84" xfId="369" applyNumberFormat="1" applyBorder="1" applyAlignment="1">
      <alignment horizontal="right" vertical="center"/>
    </xf>
    <xf numFmtId="0" fontId="10" fillId="0" borderId="0" xfId="947">
      <alignment vertical="top"/>
    </xf>
    <xf numFmtId="164" fontId="7" fillId="4" borderId="81" xfId="8" applyNumberFormat="1" applyBorder="1" applyAlignment="1">
      <alignment horizontal="right"/>
    </xf>
    <xf numFmtId="164" fontId="7" fillId="3" borderId="80" xfId="5" applyNumberFormat="1" applyBorder="1" applyAlignment="1">
      <alignment horizontal="right"/>
    </xf>
    <xf numFmtId="164" fontId="7" fillId="3" borderId="79" xfId="5" applyNumberFormat="1" applyBorder="1" applyAlignment="1">
      <alignment horizontal="right"/>
    </xf>
    <xf numFmtId="0" fontId="7" fillId="3" borderId="81" xfId="5" applyNumberFormat="1" applyBorder="1" applyAlignment="1"/>
    <xf numFmtId="164" fontId="7" fillId="4" borderId="6" xfId="8" applyNumberFormat="1" applyBorder="1" applyAlignment="1">
      <alignment horizontal="right"/>
    </xf>
    <xf numFmtId="164" fontId="7" fillId="3" borderId="17" xfId="5" applyNumberFormat="1" applyBorder="1" applyAlignment="1">
      <alignment horizontal="right"/>
    </xf>
    <xf numFmtId="164" fontId="73" fillId="16" borderId="107" xfId="948" applyNumberFormat="1" applyBorder="1" applyAlignment="1">
      <alignment horizontal="right"/>
    </xf>
    <xf numFmtId="164" fontId="7" fillId="4" borderId="0" xfId="8" applyNumberFormat="1" applyBorder="1" applyAlignment="1">
      <alignment horizontal="right"/>
    </xf>
    <xf numFmtId="164" fontId="7" fillId="3" borderId="29" xfId="5" applyNumberFormat="1" applyBorder="1" applyAlignment="1">
      <alignment horizontal="right"/>
    </xf>
    <xf numFmtId="49" fontId="73" fillId="16" borderId="82" xfId="948" applyAlignment="1">
      <alignment horizontal="left"/>
    </xf>
    <xf numFmtId="164" fontId="27" fillId="0" borderId="82" xfId="369" applyNumberFormat="1">
      <alignment horizontal="right" vertical="center"/>
    </xf>
    <xf numFmtId="164" fontId="27" fillId="0" borderId="84" xfId="369" applyNumberFormat="1" applyBorder="1">
      <alignment horizontal="right" vertical="center"/>
    </xf>
    <xf numFmtId="164" fontId="27" fillId="0" borderId="120" xfId="369" applyNumberFormat="1" applyBorder="1">
      <alignment horizontal="right" vertical="center"/>
    </xf>
    <xf numFmtId="164" fontId="27" fillId="0" borderId="83" xfId="369" applyNumberFormat="1" applyBorder="1">
      <alignment horizontal="right" vertical="center"/>
    </xf>
    <xf numFmtId="49" fontId="27" fillId="0" borderId="82" xfId="369" applyAlignment="1">
      <alignment horizontal="left" vertical="center"/>
    </xf>
    <xf numFmtId="164" fontId="6" fillId="4" borderId="90" xfId="709" applyNumberFormat="1" applyAlignment="1">
      <alignment horizontal="right"/>
    </xf>
    <xf numFmtId="164" fontId="6" fillId="4" borderId="121" xfId="709" applyNumberFormat="1" applyBorder="1" applyAlignment="1">
      <alignment horizontal="right"/>
    </xf>
    <xf numFmtId="164" fontId="6" fillId="4" borderId="90" xfId="709" applyAlignment="1">
      <alignment horizontal="left"/>
    </xf>
    <xf numFmtId="164" fontId="7" fillId="3" borderId="43" xfId="5" applyNumberFormat="1" applyBorder="1" applyAlignment="1">
      <alignment horizontal="right"/>
    </xf>
    <xf numFmtId="164" fontId="7" fillId="3" borderId="122" xfId="5" applyNumberFormat="1" applyBorder="1" applyAlignment="1">
      <alignment horizontal="right"/>
    </xf>
    <xf numFmtId="164" fontId="6" fillId="4" borderId="73" xfId="709" applyNumberFormat="1" applyBorder="1" applyAlignment="1">
      <alignment horizontal="right"/>
    </xf>
    <xf numFmtId="164" fontId="6" fillId="4" borderId="98" xfId="709" applyNumberFormat="1" applyBorder="1" applyAlignment="1">
      <alignment horizontal="right"/>
    </xf>
    <xf numFmtId="49" fontId="6" fillId="0" borderId="3" xfId="3" applyNumberFormat="1" applyAlignment="1">
      <alignment horizontal="left" vertical="center"/>
    </xf>
    <xf numFmtId="164" fontId="6" fillId="4" borderId="91" xfId="709" applyBorder="1" applyAlignment="1">
      <alignment horizontal="left"/>
    </xf>
    <xf numFmtId="164" fontId="7" fillId="4" borderId="58" xfId="8" applyNumberFormat="1" applyBorder="1" applyAlignment="1">
      <alignment horizontal="right"/>
    </xf>
    <xf numFmtId="0" fontId="7" fillId="3" borderId="58" xfId="5" applyNumberFormat="1" applyBorder="1" applyAlignment="1"/>
    <xf numFmtId="164" fontId="6" fillId="0" borderId="3" xfId="3" applyNumberFormat="1" applyAlignment="1">
      <alignment horizontal="right" vertical="center"/>
    </xf>
    <xf numFmtId="164" fontId="6" fillId="0" borderId="117" xfId="3" applyNumberFormat="1" applyBorder="1" applyAlignment="1">
      <alignment horizontal="right" vertical="center"/>
    </xf>
    <xf numFmtId="164" fontId="6" fillId="0" borderId="123" xfId="3" applyNumberFormat="1" applyBorder="1" applyAlignment="1">
      <alignment horizontal="right" vertical="center"/>
    </xf>
    <xf numFmtId="164" fontId="6" fillId="0" borderId="33" xfId="3" applyNumberFormat="1" applyBorder="1" applyAlignment="1">
      <alignment horizontal="right" vertical="center"/>
    </xf>
    <xf numFmtId="164" fontId="6" fillId="4" borderId="124" xfId="709" applyNumberFormat="1" applyBorder="1" applyAlignment="1">
      <alignment horizontal="right"/>
    </xf>
    <xf numFmtId="164" fontId="6" fillId="4" borderId="125" xfId="709" applyNumberFormat="1" applyBorder="1" applyAlignment="1">
      <alignment horizontal="right"/>
    </xf>
    <xf numFmtId="164" fontId="27" fillId="0" borderId="0" xfId="369" applyNumberFormat="1" applyBorder="1">
      <alignment horizontal="right" vertical="center"/>
    </xf>
    <xf numFmtId="164" fontId="27" fillId="0" borderId="29" xfId="369" applyNumberFormat="1" applyBorder="1">
      <alignment horizontal="right" vertical="center"/>
    </xf>
    <xf numFmtId="164" fontId="27" fillId="0" borderId="126" xfId="369" applyNumberFormat="1" applyBorder="1">
      <alignment horizontal="right" vertical="center"/>
    </xf>
    <xf numFmtId="164" fontId="27" fillId="0" borderId="30" xfId="369" applyNumberFormat="1" applyBorder="1">
      <alignment horizontal="right" vertical="center"/>
    </xf>
    <xf numFmtId="49" fontId="6" fillId="0" borderId="0" xfId="3" applyNumberFormat="1" applyBorder="1" applyAlignment="1">
      <alignment horizontal="left" vertical="center"/>
    </xf>
    <xf numFmtId="49" fontId="27" fillId="0" borderId="82" xfId="369" applyAlignment="1">
      <alignment horizontal="right"/>
    </xf>
    <xf numFmtId="49" fontId="27" fillId="0" borderId="82" xfId="369" applyAlignment="1">
      <alignment horizontal="right" wrapText="1"/>
    </xf>
    <xf numFmtId="49" fontId="27" fillId="0" borderId="82" xfId="369" applyAlignment="1"/>
    <xf numFmtId="49" fontId="51" fillId="0" borderId="0" xfId="369" applyFont="1" applyBorder="1" applyAlignment="1">
      <alignment horizontal="left" vertical="center"/>
    </xf>
    <xf numFmtId="164" fontId="73" fillId="16" borderId="127" xfId="948" applyNumberFormat="1" applyBorder="1" applyAlignment="1">
      <alignment horizontal="right"/>
    </xf>
    <xf numFmtId="164" fontId="7" fillId="4" borderId="126" xfId="8" applyNumberFormat="1" applyBorder="1" applyAlignment="1">
      <alignment horizontal="right"/>
    </xf>
    <xf numFmtId="164" fontId="7" fillId="4" borderId="128" xfId="8" applyNumberFormat="1" applyBorder="1" applyAlignment="1">
      <alignment horizontal="right"/>
    </xf>
    <xf numFmtId="49" fontId="51" fillId="0" borderId="0" xfId="369" applyFont="1" applyBorder="1" applyAlignment="1">
      <alignment horizontal="left"/>
    </xf>
    <xf numFmtId="164" fontId="73" fillId="17" borderId="120" xfId="948" applyNumberFormat="1" applyFill="1" applyBorder="1" applyAlignment="1">
      <alignment horizontal="right"/>
    </xf>
    <xf numFmtId="164" fontId="73" fillId="17" borderId="105" xfId="948" applyNumberFormat="1" applyFill="1" applyBorder="1" applyAlignment="1">
      <alignment horizontal="right"/>
    </xf>
    <xf numFmtId="164" fontId="73" fillId="17" borderId="106" xfId="948" applyNumberFormat="1" applyFill="1" applyBorder="1" applyAlignment="1">
      <alignment horizontal="right"/>
    </xf>
    <xf numFmtId="49" fontId="73" fillId="17" borderId="107" xfId="948" applyFill="1" applyBorder="1" applyAlignment="1">
      <alignment horizontal="left"/>
    </xf>
    <xf numFmtId="164" fontId="7" fillId="4" borderId="129" xfId="8" applyNumberFormat="1" applyBorder="1" applyAlignment="1">
      <alignment horizontal="right"/>
    </xf>
    <xf numFmtId="49" fontId="7" fillId="3" borderId="6" xfId="5" applyNumberFormat="1" applyAlignment="1">
      <alignment horizontal="left"/>
    </xf>
    <xf numFmtId="164" fontId="27" fillId="0" borderId="82" xfId="369" applyNumberFormat="1" applyAlignment="1">
      <alignment horizontal="left"/>
    </xf>
    <xf numFmtId="164" fontId="73" fillId="16" borderId="130" xfId="948" applyNumberFormat="1" applyBorder="1" applyAlignment="1">
      <alignment horizontal="right"/>
    </xf>
    <xf numFmtId="164" fontId="73" fillId="16" borderId="131" xfId="948" applyNumberFormat="1" applyBorder="1" applyAlignment="1">
      <alignment horizontal="right"/>
    </xf>
    <xf numFmtId="164" fontId="73" fillId="16" borderId="132" xfId="948" applyNumberFormat="1" applyBorder="1" applyAlignment="1">
      <alignment horizontal="right"/>
    </xf>
    <xf numFmtId="49" fontId="73" fillId="16" borderId="133" xfId="948" applyBorder="1" applyAlignment="1"/>
    <xf numFmtId="164" fontId="7" fillId="3" borderId="134" xfId="5" applyNumberFormat="1" applyBorder="1" applyAlignment="1">
      <alignment horizontal="right"/>
    </xf>
    <xf numFmtId="49" fontId="7" fillId="3" borderId="31" xfId="5" applyNumberFormat="1" applyBorder="1" applyAlignment="1">
      <alignment horizontal="left"/>
    </xf>
    <xf numFmtId="0" fontId="51" fillId="0" borderId="0" xfId="369" applyNumberFormat="1" applyFont="1" applyBorder="1" applyAlignment="1">
      <alignment horizontal="left" vertical="center"/>
    </xf>
    <xf numFmtId="0" fontId="13" fillId="0" borderId="0" xfId="7"/>
    <xf numFmtId="0" fontId="13" fillId="0" borderId="0" xfId="7" applyFont="1"/>
    <xf numFmtId="0" fontId="13" fillId="0" borderId="0" xfId="7" applyAlignment="1"/>
    <xf numFmtId="0" fontId="13" fillId="0" borderId="0" xfId="7" applyFill="1" applyAlignment="1"/>
    <xf numFmtId="0" fontId="13" fillId="0" borderId="0" xfId="7" applyFont="1" applyFill="1" applyAlignment="1"/>
    <xf numFmtId="164" fontId="7" fillId="4" borderId="135" xfId="8" applyNumberFormat="1" applyBorder="1" applyAlignment="1">
      <alignment horizontal="right"/>
    </xf>
    <xf numFmtId="0" fontId="7" fillId="5" borderId="81" xfId="0" applyFont="1" applyFill="1" applyBorder="1"/>
    <xf numFmtId="0" fontId="7" fillId="5" borderId="6" xfId="0" applyFont="1" applyFill="1" applyBorder="1"/>
    <xf numFmtId="164" fontId="73" fillId="16" borderId="136" xfId="948" applyNumberFormat="1" applyBorder="1" applyAlignment="1">
      <alignment horizontal="right"/>
    </xf>
    <xf numFmtId="164" fontId="73" fillId="16" borderId="137" xfId="948" applyNumberFormat="1" applyBorder="1" applyAlignment="1">
      <alignment horizontal="right"/>
    </xf>
    <xf numFmtId="164" fontId="73" fillId="16" borderId="138" xfId="948" applyNumberFormat="1" applyBorder="1" applyAlignment="1">
      <alignment horizontal="right"/>
    </xf>
    <xf numFmtId="0" fontId="7" fillId="5" borderId="31" xfId="0" applyFont="1" applyFill="1" applyBorder="1"/>
    <xf numFmtId="164" fontId="6" fillId="4" borderId="139" xfId="709" applyNumberFormat="1" applyBorder="1" applyAlignment="1">
      <alignment horizontal="right"/>
    </xf>
    <xf numFmtId="164" fontId="6" fillId="0" borderId="0" xfId="3" applyNumberFormat="1" applyBorder="1" applyAlignment="1"/>
    <xf numFmtId="0" fontId="6" fillId="0" borderId="0" xfId="3" applyNumberFormat="1" applyBorder="1" applyAlignment="1"/>
    <xf numFmtId="37" fontId="73" fillId="16" borderId="106" xfId="948" applyNumberFormat="1" applyBorder="1" applyAlignment="1">
      <alignment horizontal="right"/>
    </xf>
    <xf numFmtId="37" fontId="7" fillId="3" borderId="29" xfId="5" applyNumberFormat="1" applyBorder="1" applyAlignment="1">
      <alignment horizontal="right"/>
    </xf>
    <xf numFmtId="37" fontId="7" fillId="3" borderId="17" xfId="5" applyNumberFormat="1" applyBorder="1" applyAlignment="1">
      <alignment horizontal="right"/>
    </xf>
    <xf numFmtId="0" fontId="6" fillId="4" borderId="73" xfId="709" applyNumberFormat="1" applyBorder="1" applyAlignment="1">
      <alignment horizontal="right"/>
    </xf>
    <xf numFmtId="37" fontId="6" fillId="4" borderId="125" xfId="709" applyNumberFormat="1" applyBorder="1" applyAlignment="1">
      <alignment horizontal="right"/>
    </xf>
    <xf numFmtId="164" fontId="73" fillId="17" borderId="127" xfId="948" applyNumberFormat="1" applyFill="1" applyBorder="1" applyAlignment="1">
      <alignment horizontal="right"/>
    </xf>
    <xf numFmtId="164" fontId="7" fillId="2" borderId="6" xfId="4" applyNumberFormat="1" applyBorder="1">
      <alignment horizontal="right" vertical="center"/>
    </xf>
    <xf numFmtId="164" fontId="13" fillId="0" borderId="0" xfId="7" applyNumberFormat="1"/>
    <xf numFmtId="164" fontId="27" fillId="0" borderId="82" xfId="369" applyNumberFormat="1" applyAlignment="1">
      <alignment horizontal="right" vertical="center"/>
    </xf>
    <xf numFmtId="49" fontId="27" fillId="0" borderId="82" xfId="369" applyAlignment="1">
      <alignment horizontal="left"/>
    </xf>
    <xf numFmtId="3" fontId="7" fillId="3" borderId="0" xfId="5" applyBorder="1" applyAlignment="1"/>
    <xf numFmtId="3" fontId="7" fillId="3" borderId="6" xfId="5" applyAlignment="1"/>
    <xf numFmtId="0" fontId="73" fillId="16" borderId="107" xfId="948" applyNumberFormat="1" applyBorder="1"/>
    <xf numFmtId="0" fontId="73" fillId="16" borderId="82" xfId="948" applyNumberFormat="1"/>
    <xf numFmtId="0" fontId="27" fillId="0" borderId="82" xfId="369" applyNumberFormat="1" applyAlignment="1">
      <alignment horizontal="left" vertical="center"/>
    </xf>
    <xf numFmtId="0" fontId="6" fillId="0" borderId="3" xfId="3" applyNumberFormat="1" applyAlignment="1">
      <alignment horizontal="left" vertical="center"/>
    </xf>
    <xf numFmtId="164" fontId="7" fillId="4" borderId="125" xfId="709" applyNumberFormat="1" applyFont="1" applyBorder="1" applyAlignment="1">
      <alignment horizontal="right"/>
    </xf>
    <xf numFmtId="164" fontId="6" fillId="4" borderId="125" xfId="709" applyNumberFormat="1" applyFont="1" applyBorder="1" applyAlignment="1">
      <alignment horizontal="right"/>
    </xf>
    <xf numFmtId="0" fontId="6" fillId="0" borderId="0" xfId="3" applyNumberFormat="1" applyBorder="1" applyAlignment="1">
      <alignment horizontal="left" vertical="center"/>
    </xf>
    <xf numFmtId="164" fontId="73" fillId="16" borderId="127" xfId="948" applyNumberFormat="1" applyBorder="1"/>
    <xf numFmtId="49" fontId="73" fillId="16" borderId="107" xfId="948" applyBorder="1"/>
    <xf numFmtId="49" fontId="73" fillId="16" borderId="107" xfId="948" applyNumberFormat="1" applyBorder="1"/>
    <xf numFmtId="164" fontId="7" fillId="4" borderId="6" xfId="8" applyNumberFormat="1" applyAlignment="1">
      <alignment horizontal="right" vertical="center"/>
    </xf>
    <xf numFmtId="164" fontId="7" fillId="3" borderId="30" xfId="5" applyNumberFormat="1" applyBorder="1" applyAlignment="1">
      <alignment horizontal="right" vertical="center"/>
    </xf>
    <xf numFmtId="164" fontId="7" fillId="3" borderId="29" xfId="5" applyNumberFormat="1" applyBorder="1" applyAlignment="1">
      <alignment horizontal="right" vertical="center"/>
    </xf>
    <xf numFmtId="49" fontId="7" fillId="3" borderId="0" xfId="5" applyNumberFormat="1" applyBorder="1" applyAlignment="1">
      <alignment horizontal="left" vertical="center"/>
    </xf>
    <xf numFmtId="164" fontId="7" fillId="4" borderId="140" xfId="8" applyNumberFormat="1" applyBorder="1" applyAlignment="1">
      <alignment horizontal="right" vertical="center"/>
    </xf>
    <xf numFmtId="164" fontId="7" fillId="4" borderId="128" xfId="8" applyNumberFormat="1" applyBorder="1" applyAlignment="1">
      <alignment horizontal="right" vertical="center"/>
    </xf>
    <xf numFmtId="164" fontId="7" fillId="3" borderId="18" xfId="5" applyNumberFormat="1" applyBorder="1" applyAlignment="1">
      <alignment horizontal="right" vertical="center"/>
    </xf>
    <xf numFmtId="164" fontId="7" fillId="3" borderId="17" xfId="5" applyNumberFormat="1" applyBorder="1" applyAlignment="1">
      <alignment horizontal="right" vertical="center"/>
    </xf>
    <xf numFmtId="49" fontId="7" fillId="3" borderId="6" xfId="5" applyNumberFormat="1" applyAlignment="1">
      <alignment horizontal="left" vertical="center"/>
    </xf>
    <xf numFmtId="164" fontId="7" fillId="3" borderId="108" xfId="5" applyNumberFormat="1" applyBorder="1" applyAlignment="1">
      <alignment horizontal="right" vertical="center"/>
    </xf>
    <xf numFmtId="164" fontId="7" fillId="3" borderId="109" xfId="5" applyNumberFormat="1" applyBorder="1" applyAlignment="1">
      <alignment horizontal="right" vertical="center"/>
    </xf>
    <xf numFmtId="164" fontId="7" fillId="0" borderId="6" xfId="5" applyNumberFormat="1" applyFill="1" applyAlignment="1">
      <alignment horizontal="right" vertical="center"/>
    </xf>
    <xf numFmtId="0" fontId="10" fillId="0" borderId="0" xfId="947" applyAlignment="1"/>
    <xf numFmtId="164" fontId="7" fillId="4" borderId="126" xfId="8" applyNumberFormat="1" applyBorder="1" applyAlignment="1">
      <alignment horizontal="right" vertical="center"/>
    </xf>
    <xf numFmtId="164" fontId="7" fillId="4" borderId="141" xfId="8" applyNumberFormat="1" applyBorder="1" applyAlignment="1">
      <alignment horizontal="right" vertical="center"/>
    </xf>
    <xf numFmtId="164" fontId="6" fillId="4" borderId="139" xfId="709" applyNumberFormat="1" applyBorder="1" applyAlignment="1">
      <alignment horizontal="right" vertical="center"/>
    </xf>
    <xf numFmtId="164" fontId="6" fillId="4" borderId="73" xfId="709" applyNumberFormat="1" applyBorder="1" applyAlignment="1">
      <alignment horizontal="right" vertical="center"/>
    </xf>
    <xf numFmtId="164" fontId="6" fillId="4" borderId="125" xfId="709" applyNumberFormat="1" applyBorder="1" applyAlignment="1">
      <alignment horizontal="right" vertical="center"/>
    </xf>
    <xf numFmtId="164" fontId="27" fillId="0" borderId="83" xfId="369" applyNumberFormat="1" applyBorder="1" applyAlignment="1">
      <alignment horizontal="right" vertical="center"/>
    </xf>
    <xf numFmtId="164" fontId="27" fillId="0" borderId="84" xfId="369" applyNumberFormat="1" applyBorder="1" applyAlignment="1">
      <alignment horizontal="right" vertical="center"/>
    </xf>
    <xf numFmtId="164" fontId="7" fillId="3" borderId="98" xfId="5" applyNumberFormat="1" applyBorder="1" applyAlignment="1">
      <alignment horizontal="right" vertical="center"/>
    </xf>
    <xf numFmtId="164" fontId="7" fillId="3" borderId="121" xfId="5" applyNumberFormat="1" applyBorder="1" applyAlignment="1">
      <alignment horizontal="right" vertical="center"/>
    </xf>
    <xf numFmtId="0" fontId="7" fillId="3" borderId="90" xfId="5" applyNumberFormat="1" applyBorder="1" applyAlignment="1">
      <alignment horizontal="left" vertical="center"/>
    </xf>
    <xf numFmtId="49" fontId="27" fillId="0" borderId="82" xfId="369" applyAlignment="1">
      <alignment horizontal="left" wrapText="1"/>
    </xf>
    <xf numFmtId="164" fontId="7" fillId="3" borderId="109" xfId="5" applyNumberFormat="1" applyBorder="1" applyAlignment="1">
      <alignment horizontal="right"/>
    </xf>
    <xf numFmtId="164" fontId="6" fillId="4" borderId="124" xfId="709" applyBorder="1" applyAlignment="1"/>
    <xf numFmtId="164" fontId="7" fillId="3" borderId="142" xfId="5" applyNumberFormat="1" applyBorder="1" applyAlignment="1">
      <alignment horizontal="right"/>
    </xf>
    <xf numFmtId="164" fontId="7" fillId="3" borderId="70" xfId="5" applyNumberFormat="1" applyBorder="1" applyAlignment="1">
      <alignment horizontal="right"/>
    </xf>
    <xf numFmtId="37" fontId="6" fillId="0" borderId="3" xfId="3" applyNumberFormat="1" applyAlignment="1">
      <alignment horizontal="right"/>
    </xf>
    <xf numFmtId="164" fontId="6" fillId="0" borderId="143" xfId="3" applyNumberFormat="1" applyBorder="1" applyAlignment="1">
      <alignment horizontal="right"/>
    </xf>
    <xf numFmtId="164" fontId="6" fillId="0" borderId="144" xfId="3" applyNumberFormat="1" applyBorder="1" applyAlignment="1">
      <alignment horizontal="right"/>
    </xf>
    <xf numFmtId="0" fontId="6" fillId="0" borderId="145" xfId="3" applyNumberFormat="1" applyBorder="1" applyAlignment="1"/>
    <xf numFmtId="0" fontId="27" fillId="0" borderId="82" xfId="369" applyNumberFormat="1" applyAlignment="1">
      <alignment horizontal="left"/>
    </xf>
    <xf numFmtId="49" fontId="51" fillId="0" borderId="0" xfId="369" applyNumberFormat="1" applyFont="1" applyBorder="1" applyAlignment="1">
      <alignment horizontal="left" vertical="center"/>
    </xf>
    <xf numFmtId="164" fontId="73" fillId="18" borderId="107" xfId="709" applyNumberFormat="1" applyFont="1" applyFill="1" applyBorder="1" applyAlignment="1">
      <alignment horizontal="right"/>
    </xf>
    <xf numFmtId="164" fontId="73" fillId="18" borderId="105" xfId="709" applyNumberFormat="1" applyFont="1" applyFill="1" applyBorder="1" applyAlignment="1">
      <alignment horizontal="right"/>
    </xf>
    <xf numFmtId="164" fontId="73" fillId="18" borderId="106" xfId="709" applyNumberFormat="1" applyFont="1" applyFill="1" applyBorder="1" applyAlignment="1">
      <alignment horizontal="right"/>
    </xf>
    <xf numFmtId="164" fontId="73" fillId="18" borderId="107" xfId="709" applyFont="1" applyFill="1" applyBorder="1" applyAlignment="1"/>
    <xf numFmtId="164" fontId="6" fillId="0" borderId="3" xfId="3" applyNumberFormat="1" applyAlignment="1">
      <alignment horizontal="right"/>
    </xf>
    <xf numFmtId="164" fontId="6" fillId="0" borderId="117" xfId="3" applyNumberFormat="1" applyBorder="1" applyAlignment="1">
      <alignment horizontal="right"/>
    </xf>
    <xf numFmtId="0" fontId="13" fillId="0" borderId="0" xfId="7" applyNumberFormat="1" applyAlignment="1">
      <alignment vertical="top"/>
    </xf>
    <xf numFmtId="164" fontId="73" fillId="16" borderId="82" xfId="948" applyNumberFormat="1" applyAlignment="1">
      <alignment horizontal="right"/>
    </xf>
    <xf numFmtId="164" fontId="73" fillId="16" borderId="84" xfId="948" applyNumberFormat="1" applyBorder="1" applyAlignment="1">
      <alignment horizontal="right"/>
    </xf>
    <xf numFmtId="164" fontId="73" fillId="16" borderId="83" xfId="948" applyNumberFormat="1" applyBorder="1" applyAlignment="1">
      <alignment horizontal="right"/>
    </xf>
    <xf numFmtId="0" fontId="73" fillId="16" borderId="82" xfId="948" applyNumberFormat="1" applyAlignment="1">
      <alignment wrapText="1"/>
    </xf>
    <xf numFmtId="164" fontId="7" fillId="3" borderId="40" xfId="5" applyNumberFormat="1" applyBorder="1" applyAlignment="1">
      <alignment horizontal="right"/>
    </xf>
    <xf numFmtId="164" fontId="27" fillId="0" borderId="82" xfId="369" applyNumberFormat="1" applyAlignment="1">
      <alignment horizontal="left" wrapText="1"/>
    </xf>
    <xf numFmtId="164" fontId="27" fillId="0" borderId="82" xfId="369" applyNumberFormat="1" applyAlignment="1">
      <alignment horizontal="left" vertical="center"/>
    </xf>
    <xf numFmtId="164" fontId="17" fillId="0" borderId="30" xfId="0" applyNumberFormat="1" applyFont="1" applyBorder="1"/>
    <xf numFmtId="164" fontId="17" fillId="0" borderId="29" xfId="0" applyNumberFormat="1" applyFont="1" applyBorder="1"/>
    <xf numFmtId="164" fontId="6" fillId="0" borderId="3" xfId="3" applyNumberFormat="1" applyAlignment="1"/>
    <xf numFmtId="164" fontId="6" fillId="0" borderId="33" xfId="3" applyNumberFormat="1" applyBorder="1" applyAlignment="1"/>
    <xf numFmtId="164" fontId="6" fillId="0" borderId="117" xfId="3" applyNumberFormat="1" applyBorder="1" applyAlignment="1"/>
    <xf numFmtId="0" fontId="13" fillId="0" borderId="0" xfId="7" applyAlignment="1">
      <alignment wrapText="1"/>
    </xf>
    <xf numFmtId="0" fontId="0" fillId="0" borderId="0" xfId="0" applyAlignment="1">
      <alignment vertical="top"/>
    </xf>
    <xf numFmtId="0" fontId="13" fillId="0" borderId="0" xfId="7" applyAlignment="1">
      <alignment vertical="top"/>
    </xf>
    <xf numFmtId="0" fontId="3" fillId="0" borderId="0" xfId="1" applyNumberFormat="1" applyAlignment="1"/>
    <xf numFmtId="0" fontId="3" fillId="0" borderId="0" xfId="1" applyNumberFormat="1" applyAlignment="1">
      <alignment vertical="center" wrapText="1"/>
    </xf>
    <xf numFmtId="164" fontId="7" fillId="3" borderId="17" xfId="8" applyNumberFormat="1" applyFill="1" applyBorder="1" applyAlignment="1">
      <alignment horizontal="right" wrapText="1"/>
    </xf>
    <xf numFmtId="164" fontId="6" fillId="4" borderId="121" xfId="709" applyNumberFormat="1" applyFill="1" applyBorder="1" applyAlignment="1">
      <alignment horizontal="right"/>
    </xf>
    <xf numFmtId="164" fontId="6" fillId="19" borderId="146" xfId="3" applyNumberFormat="1" applyFill="1" applyBorder="1" applyAlignment="1">
      <alignment horizontal="right"/>
    </xf>
    <xf numFmtId="0" fontId="6" fillId="19" borderId="3" xfId="3" applyNumberFormat="1" applyFill="1" applyAlignment="1"/>
    <xf numFmtId="164" fontId="27" fillId="0" borderId="0" xfId="369" applyNumberFormat="1" applyBorder="1" applyAlignment="1">
      <alignment horizontal="left" vertical="center"/>
    </xf>
    <xf numFmtId="164" fontId="0" fillId="0" borderId="29" xfId="0" applyNumberFormat="1" applyBorder="1"/>
    <xf numFmtId="164" fontId="6" fillId="19" borderId="115" xfId="3" applyNumberFormat="1" applyFill="1" applyBorder="1" applyAlignment="1">
      <alignment horizontal="right"/>
    </xf>
    <xf numFmtId="164" fontId="6" fillId="4" borderId="116" xfId="709" applyNumberFormat="1" applyFill="1" applyBorder="1" applyAlignment="1">
      <alignment horizontal="right"/>
    </xf>
    <xf numFmtId="49" fontId="27" fillId="0" borderId="83" xfId="369" applyBorder="1">
      <alignment horizontal="right" vertical="center"/>
    </xf>
    <xf numFmtId="164" fontId="73" fillId="16" borderId="120" xfId="948" applyNumberFormat="1" applyBorder="1" applyAlignment="1">
      <alignment horizontal="right"/>
    </xf>
    <xf numFmtId="0" fontId="73" fillId="16" borderId="82" xfId="948" applyNumberFormat="1" applyBorder="1"/>
    <xf numFmtId="164" fontId="7" fillId="3" borderId="126" xfId="8" applyNumberFormat="1" applyFill="1" applyBorder="1" applyAlignment="1">
      <alignment horizontal="right"/>
    </xf>
    <xf numFmtId="164" fontId="7" fillId="3" borderId="128" xfId="8" applyNumberFormat="1" applyFill="1" applyBorder="1" applyAlignment="1">
      <alignment horizontal="right"/>
    </xf>
    <xf numFmtId="164" fontId="7" fillId="3" borderId="129" xfId="8" applyNumberFormat="1" applyFill="1" applyBorder="1" applyAlignment="1">
      <alignment horizontal="right"/>
    </xf>
    <xf numFmtId="164" fontId="7" fillId="3" borderId="32" xfId="8" applyNumberFormat="1" applyFill="1" applyBorder="1" applyAlignment="1">
      <alignment horizontal="right"/>
    </xf>
    <xf numFmtId="49" fontId="27" fillId="0" borderId="107" xfId="369" applyBorder="1" applyAlignment="1">
      <alignment horizontal="right" vertical="center" wrapText="1"/>
    </xf>
    <xf numFmtId="49" fontId="27" fillId="0" borderId="106" xfId="369" applyBorder="1" applyAlignment="1">
      <alignment horizontal="right" vertical="center" wrapText="1"/>
    </xf>
    <xf numFmtId="164" fontId="7" fillId="4" borderId="32" xfId="8" applyNumberFormat="1" applyBorder="1" applyAlignment="1">
      <alignment horizontal="right"/>
    </xf>
    <xf numFmtId="164" fontId="7" fillId="3" borderId="0" xfId="8" applyNumberFormat="1" applyFill="1" applyBorder="1" applyAlignment="1">
      <alignment horizontal="right"/>
    </xf>
    <xf numFmtId="164" fontId="7" fillId="3" borderId="6" xfId="8" applyNumberFormat="1" applyFill="1" applyBorder="1" applyAlignment="1">
      <alignment horizontal="right"/>
    </xf>
    <xf numFmtId="164" fontId="7" fillId="3" borderId="31" xfId="8" applyNumberFormat="1" applyFill="1" applyBorder="1" applyAlignment="1">
      <alignment horizontal="right"/>
    </xf>
    <xf numFmtId="164" fontId="7" fillId="3" borderId="134" xfId="8" applyNumberFormat="1" applyFill="1" applyBorder="1" applyAlignment="1">
      <alignment horizontal="right"/>
    </xf>
    <xf numFmtId="49" fontId="27" fillId="0" borderId="82" xfId="369" applyAlignment="1">
      <alignment horizontal="right" vertical="center" wrapText="1"/>
    </xf>
    <xf numFmtId="0" fontId="27" fillId="0" borderId="0" xfId="369" applyNumberFormat="1" applyBorder="1" applyAlignment="1">
      <alignment horizontal="left" vertical="center"/>
    </xf>
    <xf numFmtId="164" fontId="7" fillId="4" borderId="134" xfId="8" applyNumberFormat="1" applyBorder="1" applyAlignment="1">
      <alignment horizontal="right"/>
    </xf>
    <xf numFmtId="164" fontId="7" fillId="4" borderId="109" xfId="8" applyNumberFormat="1" applyBorder="1" applyAlignment="1">
      <alignment horizontal="right"/>
    </xf>
    <xf numFmtId="0" fontId="10" fillId="6" borderId="0" xfId="947" applyFill="1">
      <alignment vertical="top"/>
    </xf>
    <xf numFmtId="166" fontId="73" fillId="17" borderId="82" xfId="948" applyNumberFormat="1" applyFill="1" applyAlignment="1">
      <alignment horizontal="right"/>
    </xf>
    <xf numFmtId="166" fontId="73" fillId="17" borderId="83" xfId="948" applyNumberFormat="1" applyFill="1" applyBorder="1" applyAlignment="1">
      <alignment horizontal="right"/>
    </xf>
    <xf numFmtId="166" fontId="73" fillId="16" borderId="84" xfId="948" applyNumberFormat="1" applyBorder="1" applyAlignment="1">
      <alignment horizontal="right"/>
    </xf>
    <xf numFmtId="166" fontId="6" fillId="10" borderId="91" xfId="709" applyNumberFormat="1" applyFill="1" applyBorder="1" applyAlignment="1">
      <alignment horizontal="right"/>
    </xf>
    <xf numFmtId="166" fontId="6" fillId="10" borderId="93" xfId="709" applyNumberFormat="1" applyFill="1" applyBorder="1" applyAlignment="1">
      <alignment horizontal="right"/>
    </xf>
    <xf numFmtId="166" fontId="6" fillId="4" borderId="92" xfId="709" applyNumberFormat="1" applyBorder="1" applyAlignment="1">
      <alignment horizontal="right"/>
    </xf>
    <xf numFmtId="168" fontId="0" fillId="0" borderId="0" xfId="0" applyNumberFormat="1" applyBorder="1"/>
    <xf numFmtId="166" fontId="34" fillId="0" borderId="82" xfId="369" applyNumberFormat="1" applyFont="1" applyAlignment="1">
      <alignment horizontal="right"/>
    </xf>
    <xf numFmtId="166" fontId="7" fillId="3" borderId="0" xfId="8" applyNumberFormat="1" applyFill="1" applyBorder="1" applyAlignment="1">
      <alignment horizontal="right"/>
    </xf>
    <xf numFmtId="166" fontId="7" fillId="3" borderId="30" xfId="8" applyNumberFormat="1" applyFill="1" applyBorder="1" applyAlignment="1">
      <alignment horizontal="right"/>
    </xf>
    <xf numFmtId="166" fontId="7" fillId="3" borderId="29" xfId="8" applyNumberFormat="1" applyFill="1" applyBorder="1" applyAlignment="1">
      <alignment horizontal="right"/>
    </xf>
    <xf numFmtId="166" fontId="7" fillId="3" borderId="6" xfId="8" applyNumberFormat="1" applyFill="1" applyAlignment="1">
      <alignment horizontal="right"/>
    </xf>
    <xf numFmtId="0" fontId="6" fillId="3" borderId="6" xfId="5" applyNumberFormat="1" applyFont="1" applyAlignment="1">
      <alignment vertical="center"/>
    </xf>
    <xf numFmtId="170" fontId="6" fillId="4" borderId="91" xfId="709" applyNumberFormat="1" applyBorder="1" applyAlignment="1">
      <alignment horizontal="right"/>
    </xf>
    <xf numFmtId="170" fontId="6" fillId="4" borderId="93" xfId="709" applyNumberFormat="1" applyBorder="1" applyAlignment="1">
      <alignment horizontal="right"/>
    </xf>
    <xf numFmtId="170" fontId="6" fillId="4" borderId="92" xfId="709" applyNumberFormat="1" applyBorder="1" applyAlignment="1">
      <alignment horizontal="right"/>
    </xf>
    <xf numFmtId="166" fontId="7" fillId="3" borderId="108" xfId="8" applyNumberFormat="1" applyFill="1" applyBorder="1" applyAlignment="1">
      <alignment horizontal="right"/>
    </xf>
    <xf numFmtId="166" fontId="7" fillId="3" borderId="109" xfId="8" applyNumberFormat="1" applyFill="1" applyBorder="1" applyAlignment="1">
      <alignment horizontal="right"/>
    </xf>
    <xf numFmtId="49" fontId="27" fillId="6" borderId="82" xfId="369" applyFill="1" applyAlignment="1">
      <alignment horizontal="right" vertical="center" wrapText="1"/>
    </xf>
    <xf numFmtId="0" fontId="27" fillId="0" borderId="0" xfId="369" applyNumberFormat="1" applyFont="1" applyBorder="1" applyAlignment="1">
      <alignment horizontal="left" vertical="center"/>
    </xf>
    <xf numFmtId="166" fontId="73" fillId="16" borderId="83" xfId="948" applyNumberFormat="1" applyBorder="1" applyAlignment="1">
      <alignment horizontal="right"/>
    </xf>
    <xf numFmtId="0" fontId="73" fillId="16" borderId="82" xfId="948" applyNumberFormat="1" applyAlignment="1">
      <alignment horizontal="right"/>
    </xf>
    <xf numFmtId="166" fontId="6" fillId="4" borderId="93" xfId="709" applyNumberFormat="1" applyBorder="1" applyAlignment="1">
      <alignment horizontal="right"/>
    </xf>
    <xf numFmtId="166" fontId="6" fillId="4" borderId="91" xfId="709" applyNumberFormat="1" applyBorder="1" applyAlignment="1">
      <alignment horizontal="right"/>
    </xf>
    <xf numFmtId="0" fontId="7" fillId="3" borderId="0" xfId="8" applyNumberFormat="1" applyFill="1" applyBorder="1" applyAlignment="1">
      <alignment horizontal="right"/>
    </xf>
    <xf numFmtId="168" fontId="7" fillId="3" borderId="0" xfId="8" applyNumberFormat="1" applyFill="1" applyBorder="1" applyAlignment="1">
      <alignment horizontal="right"/>
    </xf>
    <xf numFmtId="168" fontId="7" fillId="3" borderId="30" xfId="8" applyNumberFormat="1" applyFill="1" applyBorder="1" applyAlignment="1">
      <alignment horizontal="right"/>
    </xf>
    <xf numFmtId="168" fontId="7" fillId="3" borderId="29" xfId="8" applyNumberFormat="1" applyFill="1" applyBorder="1" applyAlignment="1">
      <alignment horizontal="right"/>
    </xf>
    <xf numFmtId="166" fontId="7" fillId="4" borderId="0" xfId="8" applyNumberFormat="1" applyBorder="1" applyAlignment="1">
      <alignment horizontal="right"/>
    </xf>
    <xf numFmtId="166" fontId="7" fillId="4" borderId="30" xfId="8" applyNumberFormat="1" applyBorder="1" applyAlignment="1">
      <alignment horizontal="right"/>
    </xf>
    <xf numFmtId="166" fontId="7" fillId="4" borderId="29" xfId="8" applyNumberFormat="1" applyBorder="1" applyAlignment="1">
      <alignment horizontal="right"/>
    </xf>
    <xf numFmtId="0" fontId="7" fillId="3" borderId="30" xfId="8" applyNumberFormat="1" applyFill="1" applyBorder="1" applyAlignment="1">
      <alignment horizontal="right"/>
    </xf>
    <xf numFmtId="168" fontId="7" fillId="3" borderId="6" xfId="8" applyNumberFormat="1" applyFill="1" applyAlignment="1">
      <alignment horizontal="right"/>
    </xf>
    <xf numFmtId="168" fontId="7" fillId="3" borderId="17" xfId="8" applyNumberFormat="1" applyFill="1" applyBorder="1" applyAlignment="1">
      <alignment horizontal="right"/>
    </xf>
    <xf numFmtId="0" fontId="7" fillId="3" borderId="108" xfId="8" applyNumberFormat="1" applyFill="1" applyBorder="1" applyAlignment="1">
      <alignment horizontal="right"/>
    </xf>
    <xf numFmtId="168" fontId="7" fillId="3" borderId="109" xfId="8" applyNumberFormat="1" applyFill="1" applyBorder="1" applyAlignment="1">
      <alignment horizontal="right"/>
    </xf>
    <xf numFmtId="166" fontId="7" fillId="4" borderId="108" xfId="8" applyNumberFormat="1" applyBorder="1" applyAlignment="1">
      <alignment horizontal="right"/>
    </xf>
    <xf numFmtId="166" fontId="7" fillId="4" borderId="109" xfId="8" applyNumberFormat="1" applyBorder="1" applyAlignment="1">
      <alignment horizontal="right"/>
    </xf>
    <xf numFmtId="0" fontId="0" fillId="6" borderId="0" xfId="0" applyFill="1"/>
    <xf numFmtId="166" fontId="73" fillId="16" borderId="120" xfId="948" applyNumberFormat="1" applyBorder="1" applyAlignment="1">
      <alignment horizontal="right"/>
    </xf>
    <xf numFmtId="166" fontId="6" fillId="4" borderId="42" xfId="709" applyNumberFormat="1" applyBorder="1" applyAlignment="1">
      <alignment horizontal="right"/>
    </xf>
    <xf numFmtId="166" fontId="7" fillId="3" borderId="126" xfId="8" applyNumberFormat="1" applyFill="1" applyBorder="1" applyAlignment="1">
      <alignment horizontal="right"/>
    </xf>
    <xf numFmtId="166" fontId="7" fillId="0" borderId="30" xfId="8" applyNumberFormat="1" applyFill="1" applyBorder="1" applyAlignment="1">
      <alignment horizontal="right"/>
    </xf>
    <xf numFmtId="166" fontId="7" fillId="3" borderId="128" xfId="8" applyNumberFormat="1" applyFill="1" applyBorder="1" applyAlignment="1">
      <alignment horizontal="right"/>
    </xf>
    <xf numFmtId="166" fontId="7" fillId="0" borderId="18" xfId="8" applyNumberFormat="1" applyFill="1" applyBorder="1" applyAlignment="1">
      <alignment horizontal="right"/>
    </xf>
    <xf numFmtId="166" fontId="6" fillId="6" borderId="123" xfId="3" applyNumberFormat="1" applyFill="1" applyBorder="1" applyAlignment="1">
      <alignment horizontal="right"/>
    </xf>
    <xf numFmtId="164" fontId="6" fillId="6" borderId="117" xfId="3" applyNumberFormat="1" applyFill="1" applyBorder="1" applyAlignment="1">
      <alignment horizontal="right"/>
    </xf>
    <xf numFmtId="166" fontId="6" fillId="0" borderId="33" xfId="3" applyNumberFormat="1" applyBorder="1" applyAlignment="1">
      <alignment horizontal="right"/>
    </xf>
    <xf numFmtId="0" fontId="6" fillId="0" borderId="3" xfId="3" applyNumberFormat="1" applyAlignment="1">
      <alignment wrapText="1"/>
    </xf>
    <xf numFmtId="166" fontId="7" fillId="0" borderId="142" xfId="8" applyNumberFormat="1" applyFill="1" applyBorder="1" applyAlignment="1">
      <alignment horizontal="right"/>
    </xf>
    <xf numFmtId="164" fontId="7" fillId="0" borderId="70" xfId="8" applyNumberFormat="1" applyFill="1" applyBorder="1" applyAlignment="1">
      <alignment horizontal="right"/>
    </xf>
    <xf numFmtId="0" fontId="6" fillId="0" borderId="3" xfId="3" applyNumberFormat="1" applyBorder="1" applyAlignment="1">
      <alignment horizontal="right"/>
    </xf>
    <xf numFmtId="0" fontId="6" fillId="0" borderId="146" xfId="3" applyNumberFormat="1" applyBorder="1" applyAlignment="1">
      <alignment horizontal="right"/>
    </xf>
    <xf numFmtId="0" fontId="6" fillId="0" borderId="117" xfId="3" applyNumberFormat="1" applyBorder="1" applyAlignment="1">
      <alignment horizontal="right"/>
    </xf>
    <xf numFmtId="0" fontId="27" fillId="0" borderId="107" xfId="369" applyNumberFormat="1" applyBorder="1">
      <alignment horizontal="right" vertical="center"/>
    </xf>
    <xf numFmtId="0" fontId="27" fillId="0" borderId="106" xfId="369" applyNumberFormat="1" applyBorder="1">
      <alignment horizontal="right" vertical="center"/>
    </xf>
    <xf numFmtId="0" fontId="51" fillId="0" borderId="82" xfId="369" applyNumberFormat="1" applyFont="1" applyAlignment="1">
      <alignment vertical="center"/>
    </xf>
    <xf numFmtId="168" fontId="7" fillId="3" borderId="18" xfId="8" applyNumberFormat="1" applyFill="1" applyBorder="1" applyAlignment="1">
      <alignment horizontal="right"/>
    </xf>
    <xf numFmtId="166" fontId="6" fillId="6" borderId="33" xfId="3" applyNumberFormat="1" applyFill="1" applyBorder="1" applyAlignment="1">
      <alignment horizontal="right"/>
    </xf>
    <xf numFmtId="0" fontId="0" fillId="0" borderId="0" xfId="0" applyAlignment="1">
      <alignment horizontal="center"/>
    </xf>
    <xf numFmtId="0" fontId="7" fillId="3" borderId="0" xfId="5" applyNumberFormat="1" applyBorder="1" applyAlignment="1">
      <alignment horizontal="center"/>
    </xf>
    <xf numFmtId="0" fontId="7" fillId="3" borderId="30" xfId="5" applyNumberFormat="1" applyBorder="1" applyAlignment="1">
      <alignment horizontal="center"/>
    </xf>
    <xf numFmtId="2" fontId="7" fillId="3" borderId="30" xfId="5" applyNumberFormat="1" applyBorder="1" applyAlignment="1">
      <alignment horizontal="center"/>
    </xf>
    <xf numFmtId="0" fontId="7" fillId="3" borderId="30" xfId="5" applyNumberFormat="1" applyBorder="1" applyAlignment="1"/>
    <xf numFmtId="0" fontId="7" fillId="3" borderId="29" xfId="5" applyNumberFormat="1" applyBorder="1" applyAlignment="1"/>
    <xf numFmtId="164" fontId="34" fillId="0" borderId="0" xfId="369" applyNumberFormat="1" applyFont="1" applyBorder="1" applyAlignment="1">
      <alignment horizontal="center" vertical="center"/>
    </xf>
    <xf numFmtId="164" fontId="34" fillId="0" borderId="30" xfId="369" applyNumberFormat="1" applyFont="1" applyBorder="1" applyAlignment="1">
      <alignment horizontal="center" vertical="center"/>
    </xf>
    <xf numFmtId="164" fontId="34" fillId="0" borderId="30" xfId="369" applyNumberFormat="1" applyFont="1" applyBorder="1" applyAlignment="1">
      <alignment horizontal="left" vertical="center"/>
    </xf>
    <xf numFmtId="164" fontId="34" fillId="0" borderId="29" xfId="369" applyNumberFormat="1" applyFont="1" applyBorder="1" applyAlignment="1">
      <alignment horizontal="left" vertical="center"/>
    </xf>
    <xf numFmtId="164" fontId="37" fillId="0" borderId="29" xfId="369" applyNumberFormat="1" applyFont="1" applyBorder="1" applyAlignment="1">
      <alignment horizontal="left" vertical="center"/>
    </xf>
    <xf numFmtId="2" fontId="34" fillId="0" borderId="30" xfId="369" applyNumberFormat="1" applyFont="1" applyBorder="1" applyAlignment="1">
      <alignment horizontal="center" vertical="center"/>
    </xf>
    <xf numFmtId="164" fontId="27" fillId="0" borderId="91" xfId="369" applyNumberFormat="1" applyBorder="1" applyAlignment="1">
      <alignment horizontal="center" vertical="center"/>
    </xf>
    <xf numFmtId="164" fontId="27" fillId="0" borderId="93" xfId="369" applyNumberFormat="1" applyBorder="1" applyAlignment="1">
      <alignment horizontal="center" vertical="center"/>
    </xf>
    <xf numFmtId="164" fontId="27" fillId="0" borderId="93" xfId="369" applyNumberFormat="1" applyBorder="1" applyAlignment="1">
      <alignment horizontal="left" vertical="center"/>
    </xf>
    <xf numFmtId="164" fontId="27" fillId="0" borderId="92" xfId="369" applyNumberFormat="1" applyBorder="1" applyAlignment="1">
      <alignment horizontal="left" vertical="center"/>
    </xf>
    <xf numFmtId="164" fontId="79" fillId="0" borderId="92" xfId="369" applyNumberFormat="1" applyFont="1" applyBorder="1" applyAlignment="1">
      <alignment horizontal="left" vertical="center"/>
    </xf>
    <xf numFmtId="2" fontId="7" fillId="3" borderId="0" xfId="5" applyNumberFormat="1" applyBorder="1" applyAlignment="1">
      <alignment horizontal="center"/>
    </xf>
    <xf numFmtId="0" fontId="7" fillId="3" borderId="94" xfId="5" applyNumberFormat="1" applyBorder="1" applyAlignment="1">
      <alignment horizontal="center"/>
    </xf>
    <xf numFmtId="0" fontId="7" fillId="3" borderId="6" xfId="5" applyNumberFormat="1" applyAlignment="1">
      <alignment horizontal="center"/>
    </xf>
    <xf numFmtId="164" fontId="79" fillId="0" borderId="91" xfId="369" applyNumberFormat="1" applyFont="1" applyBorder="1" applyAlignment="1">
      <alignment horizontal="center" vertical="center"/>
    </xf>
    <xf numFmtId="164" fontId="79" fillId="0" borderId="93" xfId="369" applyNumberFormat="1" applyFont="1" applyBorder="1" applyAlignment="1">
      <alignment horizontal="center" vertical="center"/>
    </xf>
    <xf numFmtId="164" fontId="79" fillId="0" borderId="93" xfId="369" applyNumberFormat="1" applyFont="1" applyBorder="1">
      <alignment horizontal="right" vertical="center"/>
    </xf>
    <xf numFmtId="164" fontId="79" fillId="0" borderId="92" xfId="369" applyNumberFormat="1" applyFont="1" applyBorder="1">
      <alignment horizontal="right" vertical="center"/>
    </xf>
    <xf numFmtId="0" fontId="7" fillId="0" borderId="82" xfId="948" applyNumberFormat="1" applyFont="1" applyFill="1" applyAlignment="1">
      <alignment horizontal="center"/>
    </xf>
    <xf numFmtId="0" fontId="7" fillId="0" borderId="82" xfId="948" applyNumberFormat="1" applyFont="1" applyFill="1"/>
    <xf numFmtId="2" fontId="7" fillId="0" borderId="3" xfId="3" applyNumberFormat="1" applyFont="1" applyAlignment="1">
      <alignment horizontal="center"/>
    </xf>
    <xf numFmtId="0" fontId="7" fillId="3" borderId="6" xfId="5" applyNumberFormat="1" applyFont="1" applyAlignment="1">
      <alignment horizontal="center"/>
    </xf>
    <xf numFmtId="0" fontId="7" fillId="3" borderId="0" xfId="5" applyNumberFormat="1" applyFont="1" applyBorder="1" applyAlignment="1">
      <alignment horizontal="center"/>
    </xf>
    <xf numFmtId="0" fontId="7" fillId="3" borderId="30" xfId="5" applyNumberFormat="1" applyFont="1" applyBorder="1" applyAlignment="1">
      <alignment horizontal="center"/>
    </xf>
    <xf numFmtId="165" fontId="7" fillId="3" borderId="30" xfId="5" applyNumberFormat="1" applyFont="1" applyBorder="1" applyAlignment="1">
      <alignment horizontal="center"/>
    </xf>
    <xf numFmtId="0" fontId="7" fillId="3" borderId="30" xfId="5" applyNumberFormat="1" applyFont="1" applyBorder="1" applyAlignment="1"/>
    <xf numFmtId="0" fontId="7" fillId="3" borderId="29" xfId="5" applyNumberFormat="1" applyFont="1" applyBorder="1" applyAlignment="1"/>
    <xf numFmtId="0" fontId="7" fillId="3" borderId="18" xfId="5" applyNumberFormat="1" applyFont="1" applyBorder="1" applyAlignment="1">
      <alignment horizontal="center"/>
    </xf>
    <xf numFmtId="165" fontId="7" fillId="3" borderId="18" xfId="5" applyNumberFormat="1" applyFont="1" applyBorder="1" applyAlignment="1">
      <alignment horizontal="center"/>
    </xf>
    <xf numFmtId="0" fontId="7" fillId="3" borderId="18" xfId="5" applyNumberFormat="1" applyFont="1" applyBorder="1" applyAlignment="1"/>
    <xf numFmtId="0" fontId="7" fillId="3" borderId="17" xfId="5" applyNumberFormat="1" applyFont="1" applyBorder="1" applyAlignment="1"/>
    <xf numFmtId="0" fontId="7" fillId="3" borderId="94" xfId="5" applyNumberFormat="1" applyFont="1" applyBorder="1" applyAlignment="1">
      <alignment horizontal="center"/>
    </xf>
    <xf numFmtId="0" fontId="7" fillId="3" borderId="94" xfId="5" applyNumberFormat="1" applyFont="1" applyBorder="1" applyAlignment="1"/>
    <xf numFmtId="0" fontId="7" fillId="3" borderId="18" xfId="5" applyNumberFormat="1" applyBorder="1" applyAlignment="1">
      <alignment horizontal="center"/>
    </xf>
    <xf numFmtId="165" fontId="7" fillId="3" borderId="18" xfId="5" applyNumberFormat="1" applyBorder="1" applyAlignment="1">
      <alignment horizontal="center"/>
    </xf>
    <xf numFmtId="0" fontId="7" fillId="3" borderId="18" xfId="5" applyNumberFormat="1" applyBorder="1" applyAlignment="1"/>
    <xf numFmtId="0" fontId="7" fillId="3" borderId="17" xfId="5" applyNumberFormat="1" applyBorder="1" applyAlignment="1"/>
    <xf numFmtId="164" fontId="27" fillId="0" borderId="148" xfId="369" applyNumberFormat="1" applyBorder="1" applyAlignment="1">
      <alignment horizontal="center" vertical="center"/>
    </xf>
    <xf numFmtId="164" fontId="27" fillId="0" borderId="149" xfId="369" applyNumberFormat="1" applyBorder="1" applyAlignment="1">
      <alignment horizontal="center" vertical="center"/>
    </xf>
    <xf numFmtId="164" fontId="27" fillId="0" borderId="149" xfId="369" applyNumberFormat="1" applyBorder="1" applyAlignment="1">
      <alignment horizontal="left" vertical="center"/>
    </xf>
    <xf numFmtId="164" fontId="27" fillId="0" borderId="101" xfId="369" applyNumberFormat="1" applyBorder="1" applyAlignment="1">
      <alignment horizontal="left" vertical="center"/>
    </xf>
    <xf numFmtId="2" fontId="7" fillId="3" borderId="18" xfId="5" applyNumberFormat="1" applyBorder="1" applyAlignment="1">
      <alignment horizontal="center"/>
    </xf>
    <xf numFmtId="2" fontId="7" fillId="3" borderId="94" xfId="5" applyNumberFormat="1" applyBorder="1" applyAlignment="1">
      <alignment horizontal="center"/>
    </xf>
    <xf numFmtId="0" fontId="7" fillId="3" borderId="6" xfId="5" applyNumberFormat="1" applyBorder="1" applyAlignment="1">
      <alignment horizontal="center"/>
    </xf>
    <xf numFmtId="2" fontId="7" fillId="3" borderId="6" xfId="5" applyNumberFormat="1" applyBorder="1" applyAlignment="1">
      <alignment horizontal="center"/>
    </xf>
    <xf numFmtId="0" fontId="6" fillId="3" borderId="6" xfId="5" applyNumberFormat="1" applyFont="1" applyBorder="1" applyAlignment="1"/>
    <xf numFmtId="0" fontId="7" fillId="3" borderId="69" xfId="5" applyNumberFormat="1" applyBorder="1" applyAlignment="1">
      <alignment horizontal="center"/>
    </xf>
    <xf numFmtId="2" fontId="7" fillId="3" borderId="69" xfId="5" applyNumberFormat="1" applyBorder="1" applyAlignment="1">
      <alignment horizontal="center"/>
    </xf>
    <xf numFmtId="0" fontId="7" fillId="3" borderId="69" xfId="5" applyNumberFormat="1" applyBorder="1" applyAlignment="1"/>
    <xf numFmtId="0" fontId="7" fillId="3" borderId="68" xfId="5" applyNumberFormat="1" applyBorder="1" applyAlignment="1"/>
    <xf numFmtId="0" fontId="7" fillId="3" borderId="3" xfId="5" applyNumberFormat="1" applyBorder="1" applyAlignment="1"/>
    <xf numFmtId="0" fontId="7" fillId="3" borderId="66" xfId="5" applyNumberFormat="1" applyBorder="1" applyAlignment="1">
      <alignment horizontal="center"/>
    </xf>
    <xf numFmtId="0" fontId="7" fillId="3" borderId="41" xfId="5" applyNumberFormat="1" applyBorder="1" applyAlignment="1">
      <alignment horizontal="center"/>
    </xf>
    <xf numFmtId="2" fontId="7" fillId="3" borderId="66" xfId="5" applyNumberFormat="1" applyBorder="1" applyAlignment="1">
      <alignment horizontal="center"/>
    </xf>
    <xf numFmtId="0" fontId="7" fillId="3" borderId="66" xfId="5" applyNumberFormat="1" applyBorder="1" applyAlignment="1"/>
    <xf numFmtId="2" fontId="7" fillId="3" borderId="18" xfId="5" applyNumberFormat="1" applyFont="1" applyBorder="1" applyAlignment="1">
      <alignment horizontal="center"/>
    </xf>
    <xf numFmtId="164" fontId="27" fillId="0" borderId="0" xfId="369" applyNumberFormat="1" applyBorder="1" applyAlignment="1">
      <alignment horizontal="center" vertical="center"/>
    </xf>
    <xf numFmtId="164" fontId="27" fillId="0" borderId="150" xfId="369" applyNumberFormat="1" applyBorder="1" applyAlignment="1">
      <alignment horizontal="center" vertical="center"/>
    </xf>
    <xf numFmtId="164" fontId="27" fillId="0" borderId="150" xfId="369" applyNumberFormat="1" applyBorder="1" applyAlignment="1">
      <alignment horizontal="left" vertical="center"/>
    </xf>
    <xf numFmtId="164" fontId="27" fillId="0" borderId="151" xfId="369" applyNumberFormat="1" applyBorder="1" applyAlignment="1">
      <alignment horizontal="left" vertical="center"/>
    </xf>
    <xf numFmtId="164" fontId="79" fillId="0" borderId="151" xfId="369" applyNumberFormat="1" applyFont="1" applyBorder="1" applyAlignment="1">
      <alignment horizontal="left" vertical="center"/>
    </xf>
    <xf numFmtId="0" fontId="27" fillId="0" borderId="82" xfId="369" applyNumberFormat="1" applyAlignment="1">
      <alignment horizontal="center" vertical="center"/>
    </xf>
    <xf numFmtId="49" fontId="27" fillId="0" borderId="0" xfId="369" applyNumberFormat="1" applyBorder="1">
      <alignment horizontal="right" vertical="center"/>
    </xf>
    <xf numFmtId="49" fontId="27" fillId="0" borderId="0" xfId="369" applyNumberFormat="1" applyBorder="1" applyAlignment="1">
      <alignment horizontal="center" vertical="center"/>
    </xf>
    <xf numFmtId="49" fontId="27" fillId="0" borderId="0" xfId="369" applyNumberFormat="1" applyFont="1" applyBorder="1" applyAlignment="1">
      <alignment horizontal="left" vertical="center"/>
    </xf>
    <xf numFmtId="0" fontId="80" fillId="0" borderId="0" xfId="0" applyFont="1"/>
    <xf numFmtId="0" fontId="81" fillId="0" borderId="0" xfId="0" applyFont="1" applyAlignment="1">
      <alignment horizontal="left"/>
    </xf>
    <xf numFmtId="49" fontId="7" fillId="0" borderId="82" xfId="369" applyNumberFormat="1" applyFont="1" applyAlignment="1">
      <alignment horizontal="right"/>
    </xf>
    <xf numFmtId="1" fontId="7" fillId="0" borderId="83" xfId="369" applyNumberFormat="1" applyFont="1" applyBorder="1" applyAlignment="1">
      <alignment horizontal="right" wrapText="1"/>
    </xf>
    <xf numFmtId="49" fontId="7" fillId="0" borderId="84" xfId="369" applyNumberFormat="1" applyFont="1" applyBorder="1" applyAlignment="1">
      <alignment horizontal="right"/>
    </xf>
    <xf numFmtId="49" fontId="7" fillId="0" borderId="82" xfId="369" applyNumberFormat="1" applyFont="1" applyAlignment="1">
      <alignment horizontal="left" vertical="center"/>
    </xf>
    <xf numFmtId="49" fontId="7" fillId="3" borderId="0" xfId="5" applyNumberFormat="1" applyBorder="1" applyAlignment="1">
      <alignment horizontal="right"/>
    </xf>
    <xf numFmtId="0" fontId="7" fillId="3" borderId="30" xfId="5" applyNumberFormat="1" applyBorder="1" applyAlignment="1">
      <alignment horizontal="right"/>
    </xf>
    <xf numFmtId="49" fontId="7" fillId="3" borderId="29" xfId="5" applyNumberFormat="1" applyBorder="1" applyAlignment="1">
      <alignment horizontal="right"/>
    </xf>
    <xf numFmtId="10" fontId="7" fillId="3" borderId="0" xfId="5" applyNumberFormat="1" applyBorder="1" applyAlignment="1"/>
    <xf numFmtId="49" fontId="27" fillId="0" borderId="82" xfId="369" applyNumberFormat="1" applyAlignment="1">
      <alignment horizontal="right" vertical="top"/>
    </xf>
    <xf numFmtId="1" fontId="27" fillId="0" borderId="83" xfId="369" applyNumberFormat="1" applyBorder="1" applyAlignment="1">
      <alignment horizontal="right" vertical="top" wrapText="1"/>
    </xf>
    <xf numFmtId="49" fontId="27" fillId="0" borderId="84" xfId="369" applyNumberFormat="1" applyBorder="1" applyAlignment="1">
      <alignment horizontal="right" vertical="top"/>
    </xf>
    <xf numFmtId="49" fontId="27" fillId="0" borderId="82" xfId="369" applyNumberFormat="1">
      <alignment horizontal="right" vertical="center"/>
    </xf>
    <xf numFmtId="164" fontId="73" fillId="16" borderId="106" xfId="948" applyNumberFormat="1" applyBorder="1"/>
    <xf numFmtId="164" fontId="7" fillId="10" borderId="17" xfId="5" applyNumberFormat="1" applyFill="1" applyBorder="1" applyAlignment="1"/>
    <xf numFmtId="164" fontId="7" fillId="0" borderId="109" xfId="8" applyNumberFormat="1" applyFill="1" applyBorder="1" applyAlignment="1"/>
    <xf numFmtId="164" fontId="7" fillId="3" borderId="109" xfId="8" applyNumberFormat="1" applyFill="1" applyBorder="1" applyAlignment="1"/>
    <xf numFmtId="3" fontId="73" fillId="16" borderId="105" xfId="948" applyNumberFormat="1" applyBorder="1" applyAlignment="1">
      <alignment horizontal="right"/>
    </xf>
    <xf numFmtId="3" fontId="73" fillId="16" borderId="106" xfId="948" applyNumberFormat="1" applyBorder="1" applyAlignment="1">
      <alignment horizontal="right"/>
    </xf>
    <xf numFmtId="3" fontId="73" fillId="16" borderId="82" xfId="948" applyNumberFormat="1"/>
    <xf numFmtId="3" fontId="73" fillId="16" borderId="107" xfId="948" applyNumberFormat="1" applyBorder="1"/>
    <xf numFmtId="49" fontId="7" fillId="10" borderId="134" xfId="5" applyNumberFormat="1" applyFill="1" applyBorder="1" applyAlignment="1">
      <alignment horizontal="right"/>
    </xf>
    <xf numFmtId="49" fontId="7" fillId="3" borderId="0" xfId="5" applyNumberFormat="1" applyBorder="1" applyAlignment="1">
      <alignment horizontal="left"/>
    </xf>
    <xf numFmtId="0" fontId="7" fillId="4" borderId="6" xfId="8" applyNumberFormat="1" applyAlignment="1">
      <alignment horizontal="right"/>
    </xf>
    <xf numFmtId="49" fontId="7" fillId="10" borderId="17" xfId="5" applyNumberFormat="1" applyFill="1" applyBorder="1" applyAlignment="1">
      <alignment horizontal="right"/>
    </xf>
    <xf numFmtId="49" fontId="51" fillId="0" borderId="82" xfId="369" applyNumberFormat="1" applyFont="1" applyAlignment="1">
      <alignment horizontal="left" vertical="center"/>
    </xf>
    <xf numFmtId="164" fontId="34" fillId="3" borderId="152" xfId="5" applyNumberFormat="1" applyFont="1" applyBorder="1" applyAlignment="1">
      <alignment horizontal="right"/>
    </xf>
    <xf numFmtId="164" fontId="34" fillId="0" borderId="152" xfId="8" applyNumberFormat="1" applyFont="1" applyFill="1" applyBorder="1" applyAlignment="1">
      <alignment horizontal="right"/>
    </xf>
    <xf numFmtId="164" fontId="34" fillId="3" borderId="152" xfId="8" applyNumberFormat="1" applyFont="1" applyFill="1" applyBorder="1" applyAlignment="1">
      <alignment horizontal="right"/>
    </xf>
    <xf numFmtId="164" fontId="7" fillId="10" borderId="78" xfId="5" applyNumberFormat="1" applyFill="1" applyBorder="1" applyAlignment="1">
      <alignment horizontal="right"/>
    </xf>
    <xf numFmtId="0" fontId="7" fillId="3" borderId="153" xfId="5" applyNumberFormat="1" applyBorder="1" applyAlignment="1"/>
    <xf numFmtId="164" fontId="34" fillId="3" borderId="154" xfId="5" applyNumberFormat="1" applyFont="1" applyBorder="1" applyAlignment="1">
      <alignment horizontal="right"/>
    </xf>
    <xf numFmtId="164" fontId="34" fillId="0" borderId="154" xfId="8" applyNumberFormat="1" applyFont="1" applyFill="1" applyBorder="1" applyAlignment="1">
      <alignment horizontal="right"/>
    </xf>
    <xf numFmtId="164" fontId="34" fillId="3" borderId="154" xfId="8" applyNumberFormat="1" applyFont="1" applyFill="1" applyBorder="1" applyAlignment="1">
      <alignment horizontal="right"/>
    </xf>
    <xf numFmtId="164" fontId="34" fillId="10" borderId="154" xfId="8" applyNumberFormat="1" applyFont="1" applyFill="1" applyBorder="1" applyAlignment="1">
      <alignment horizontal="right"/>
    </xf>
    <xf numFmtId="0" fontId="48" fillId="0" borderId="155" xfId="367" applyNumberFormat="1" applyBorder="1">
      <alignment horizontal="right" vertical="center"/>
    </xf>
    <xf numFmtId="9" fontId="0" fillId="0" borderId="0" xfId="946" applyFont="1"/>
    <xf numFmtId="164" fontId="89" fillId="20" borderId="156" xfId="950" applyNumberFormat="1" applyBorder="1" applyAlignment="1">
      <alignment horizontal="right"/>
    </xf>
    <xf numFmtId="9" fontId="6" fillId="20" borderId="156" xfId="946" applyFont="1" applyFill="1" applyBorder="1" applyAlignment="1">
      <alignment horizontal="right"/>
    </xf>
    <xf numFmtId="164" fontId="89" fillId="20" borderId="78" xfId="950" applyNumberFormat="1" applyBorder="1" applyAlignment="1">
      <alignment horizontal="right"/>
    </xf>
    <xf numFmtId="49" fontId="89" fillId="20" borderId="77" xfId="950" applyAlignment="1"/>
    <xf numFmtId="164" fontId="6" fillId="4" borderId="93" xfId="949" applyNumberFormat="1" applyFont="1" applyBorder="1" applyAlignment="1">
      <alignment horizontal="right"/>
    </xf>
    <xf numFmtId="164" fontId="37" fillId="4" borderId="93" xfId="949" applyNumberFormat="1" applyFont="1" applyBorder="1" applyAlignment="1">
      <alignment horizontal="right"/>
    </xf>
    <xf numFmtId="9" fontId="6" fillId="4" borderId="93" xfId="946" applyFont="1" applyFill="1" applyBorder="1" applyAlignment="1">
      <alignment horizontal="right"/>
    </xf>
    <xf numFmtId="164" fontId="6" fillId="4" borderId="92" xfId="949" applyNumberFormat="1" applyFont="1" applyBorder="1" applyAlignment="1">
      <alignment horizontal="right"/>
    </xf>
    <xf numFmtId="164" fontId="37" fillId="4" borderId="91" xfId="949" applyFont="1" applyBorder="1" applyAlignment="1"/>
    <xf numFmtId="164" fontId="7" fillId="3" borderId="126" xfId="5" applyNumberFormat="1" applyFont="1" applyBorder="1" applyAlignment="1">
      <alignment horizontal="right"/>
    </xf>
    <xf numFmtId="164" fontId="7" fillId="3" borderId="30" xfId="5" applyNumberFormat="1" applyFont="1" applyBorder="1" applyAlignment="1">
      <alignment horizontal="right"/>
    </xf>
    <xf numFmtId="164" fontId="7" fillId="4" borderId="30" xfId="8" applyNumberFormat="1" applyFont="1" applyBorder="1" applyAlignment="1">
      <alignment horizontal="right"/>
    </xf>
    <xf numFmtId="9" fontId="7" fillId="3" borderId="30" xfId="946" applyFont="1" applyFill="1" applyBorder="1" applyAlignment="1">
      <alignment horizontal="right"/>
    </xf>
    <xf numFmtId="164" fontId="7" fillId="3" borderId="29" xfId="5" applyNumberFormat="1" applyFont="1" applyBorder="1" applyAlignment="1">
      <alignment horizontal="right"/>
    </xf>
    <xf numFmtId="164" fontId="7" fillId="3" borderId="6" xfId="5" applyNumberFormat="1" applyFont="1" applyAlignment="1">
      <alignment horizontal="right"/>
    </xf>
    <xf numFmtId="164" fontId="7" fillId="4" borderId="18" xfId="8" applyNumberFormat="1" applyFont="1" applyBorder="1" applyAlignment="1">
      <alignment horizontal="right"/>
    </xf>
    <xf numFmtId="9" fontId="7" fillId="3" borderId="6" xfId="5" applyNumberFormat="1" applyFont="1" applyAlignment="1">
      <alignment horizontal="right"/>
    </xf>
    <xf numFmtId="164" fontId="7" fillId="3" borderId="18" xfId="5" applyNumberFormat="1" applyFont="1" applyBorder="1" applyAlignment="1">
      <alignment horizontal="right"/>
    </xf>
    <xf numFmtId="9" fontId="7" fillId="3" borderId="18" xfId="946" applyFont="1" applyFill="1" applyBorder="1" applyAlignment="1">
      <alignment horizontal="right"/>
    </xf>
    <xf numFmtId="164" fontId="7" fillId="3" borderId="17" xfId="5" applyNumberFormat="1" applyFont="1" applyBorder="1" applyAlignment="1">
      <alignment horizontal="right"/>
    </xf>
    <xf numFmtId="164" fontId="91" fillId="3" borderId="6" xfId="5" applyNumberFormat="1" applyFont="1" applyAlignment="1">
      <alignment horizontal="right"/>
    </xf>
    <xf numFmtId="164" fontId="91" fillId="4" borderId="96" xfId="8" applyNumberFormat="1" applyFont="1" applyBorder="1" applyAlignment="1">
      <alignment horizontal="right"/>
    </xf>
    <xf numFmtId="9" fontId="91" fillId="3" borderId="96" xfId="946" applyFont="1" applyFill="1" applyBorder="1" applyAlignment="1">
      <alignment horizontal="right"/>
    </xf>
    <xf numFmtId="0" fontId="37" fillId="3" borderId="6" xfId="5" applyNumberFormat="1" applyFont="1" applyAlignment="1"/>
    <xf numFmtId="0" fontId="34" fillId="3" borderId="0" xfId="5" applyNumberFormat="1" applyFont="1" applyBorder="1" applyAlignment="1"/>
    <xf numFmtId="164" fontId="7" fillId="4" borderId="29" xfId="8" applyNumberFormat="1" applyFont="1" applyBorder="1" applyAlignment="1">
      <alignment horizontal="right"/>
    </xf>
    <xf numFmtId="9" fontId="7" fillId="3" borderId="29" xfId="946" applyFont="1" applyFill="1" applyBorder="1" applyAlignment="1">
      <alignment horizontal="right"/>
    </xf>
    <xf numFmtId="0" fontId="34" fillId="3" borderId="6" xfId="5" applyNumberFormat="1" applyFont="1" applyAlignment="1"/>
    <xf numFmtId="164" fontId="7" fillId="0" borderId="126" xfId="5" applyNumberFormat="1" applyFont="1" applyFill="1" applyBorder="1" applyAlignment="1">
      <alignment horizontal="right"/>
    </xf>
    <xf numFmtId="164" fontId="7" fillId="0" borderId="30" xfId="5" applyNumberFormat="1" applyFont="1" applyFill="1" applyBorder="1" applyAlignment="1">
      <alignment horizontal="right"/>
    </xf>
    <xf numFmtId="164" fontId="7" fillId="3" borderId="128" xfId="5" applyNumberFormat="1" applyFont="1" applyBorder="1" applyAlignment="1">
      <alignment horizontal="right"/>
    </xf>
    <xf numFmtId="164" fontId="91" fillId="4" borderId="97" xfId="8" applyNumberFormat="1" applyFont="1" applyBorder="1" applyAlignment="1">
      <alignment horizontal="right"/>
    </xf>
    <xf numFmtId="0" fontId="34" fillId="3" borderId="157" xfId="5" applyNumberFormat="1" applyFont="1" applyBorder="1" applyAlignment="1">
      <alignment horizontal="right"/>
    </xf>
    <xf numFmtId="0" fontId="34" fillId="3" borderId="158" xfId="5" applyNumberFormat="1" applyFont="1" applyBorder="1" applyAlignment="1">
      <alignment horizontal="right"/>
    </xf>
    <xf numFmtId="0" fontId="34" fillId="4" borderId="158" xfId="5" applyNumberFormat="1" applyFont="1" applyFill="1" applyBorder="1" applyAlignment="1">
      <alignment horizontal="right"/>
    </xf>
    <xf numFmtId="9" fontId="34" fillId="3" borderId="158" xfId="946" applyFont="1" applyFill="1" applyBorder="1" applyAlignment="1">
      <alignment horizontal="right"/>
    </xf>
    <xf numFmtId="49" fontId="48" fillId="0" borderId="159" xfId="367" applyBorder="1" applyAlignment="1">
      <alignment horizontal="right" vertical="center" wrapText="1"/>
    </xf>
    <xf numFmtId="49" fontId="48" fillId="0" borderId="77" xfId="367" applyAlignment="1">
      <alignment horizontal="right" vertical="center" wrapText="1"/>
    </xf>
    <xf numFmtId="9" fontId="48" fillId="0" borderId="77" xfId="946" applyFont="1" applyBorder="1" applyAlignment="1">
      <alignment horizontal="right" vertical="center" wrapText="1"/>
    </xf>
    <xf numFmtId="0" fontId="48" fillId="0" borderId="0" xfId="0" applyFont="1" applyBorder="1" applyAlignment="1">
      <alignment horizontal="left" vertical="center"/>
    </xf>
    <xf numFmtId="0" fontId="97" fillId="0" borderId="0" xfId="0" applyFont="1" applyFill="1"/>
    <xf numFmtId="9" fontId="97" fillId="0" borderId="0" xfId="946" applyFont="1" applyFill="1"/>
    <xf numFmtId="0" fontId="10" fillId="0" borderId="0" xfId="6" applyFont="1" applyAlignment="1">
      <alignment vertical="top" wrapText="1"/>
    </xf>
    <xf numFmtId="164" fontId="89" fillId="20" borderId="160" xfId="950" applyNumberFormat="1" applyBorder="1" applyAlignment="1">
      <alignment horizontal="right"/>
    </xf>
    <xf numFmtId="164" fontId="89" fillId="20" borderId="161" xfId="950" applyNumberFormat="1" applyBorder="1" applyAlignment="1">
      <alignment horizontal="right"/>
    </xf>
    <xf numFmtId="49" fontId="89" fillId="20" borderId="159" xfId="950" applyBorder="1" applyAlignment="1"/>
    <xf numFmtId="164" fontId="34" fillId="3" borderId="30" xfId="5" applyNumberFormat="1" applyFont="1" applyBorder="1" applyAlignment="1">
      <alignment horizontal="right"/>
    </xf>
    <xf numFmtId="164" fontId="34" fillId="3" borderId="29" xfId="8" applyNumberFormat="1" applyFont="1" applyFill="1" applyBorder="1" applyAlignment="1">
      <alignment horizontal="right"/>
    </xf>
    <xf numFmtId="0" fontId="34" fillId="10" borderId="17" xfId="5" applyNumberFormat="1" applyFont="1" applyFill="1" applyBorder="1" applyAlignment="1">
      <alignment horizontal="right"/>
    </xf>
    <xf numFmtId="164" fontId="34" fillId="3" borderId="18" xfId="5" applyNumberFormat="1" applyFont="1" applyBorder="1" applyAlignment="1">
      <alignment horizontal="right"/>
    </xf>
    <xf numFmtId="164" fontId="34" fillId="3" borderId="17" xfId="8" applyNumberFormat="1" applyFont="1" applyFill="1" applyBorder="1" applyAlignment="1">
      <alignment horizontal="right"/>
    </xf>
    <xf numFmtId="164" fontId="34" fillId="3" borderId="158" xfId="5" applyNumberFormat="1" applyFont="1" applyBorder="1" applyAlignment="1">
      <alignment horizontal="right"/>
    </xf>
    <xf numFmtId="49" fontId="98" fillId="0" borderId="77" xfId="367" applyFont="1" applyAlignment="1">
      <alignment horizontal="left" vertical="center"/>
    </xf>
    <xf numFmtId="164" fontId="89" fillId="21" borderId="162" xfId="0" applyNumberFormat="1" applyFont="1" applyFill="1" applyBorder="1" applyAlignment="1">
      <alignment horizontal="right"/>
    </xf>
    <xf numFmtId="164" fontId="7" fillId="0" borderId="154" xfId="8" applyNumberFormat="1" applyFill="1" applyBorder="1" applyAlignment="1">
      <alignment horizontal="right"/>
    </xf>
    <xf numFmtId="164" fontId="7" fillId="3" borderId="154" xfId="8" applyNumberFormat="1" applyFill="1" applyBorder="1" applyAlignment="1">
      <alignment horizontal="right"/>
    </xf>
    <xf numFmtId="164" fontId="34" fillId="0" borderId="17" xfId="8" applyNumberFormat="1" applyFont="1" applyFill="1" applyBorder="1" applyAlignment="1">
      <alignment horizontal="right"/>
    </xf>
    <xf numFmtId="0" fontId="89" fillId="20" borderId="161" xfId="950" applyNumberFormat="1" applyBorder="1" applyAlignment="1">
      <alignment horizontal="right"/>
    </xf>
    <xf numFmtId="49" fontId="89" fillId="20" borderId="77" xfId="950" applyAlignment="1">
      <alignment horizontal="left"/>
    </xf>
    <xf numFmtId="164" fontId="89" fillId="20" borderId="161" xfId="950" applyNumberFormat="1" applyFont="1" applyBorder="1" applyAlignment="1">
      <alignment horizontal="right"/>
    </xf>
    <xf numFmtId="0" fontId="89" fillId="20" borderId="159" xfId="950" applyNumberFormat="1" applyBorder="1" applyAlignment="1"/>
    <xf numFmtId="0" fontId="10" fillId="0" borderId="0" xfId="6" applyFont="1">
      <alignment vertical="top"/>
    </xf>
    <xf numFmtId="0" fontId="10" fillId="0" borderId="0" xfId="6" applyFont="1" applyAlignment="1">
      <alignment vertical="top"/>
    </xf>
    <xf numFmtId="164" fontId="34" fillId="3" borderId="163" xfId="5" applyNumberFormat="1" applyFont="1" applyBorder="1" applyAlignment="1">
      <alignment horizontal="right"/>
    </xf>
    <xf numFmtId="164" fontId="34" fillId="4" borderId="163" xfId="8" applyNumberFormat="1" applyFont="1" applyBorder="1" applyAlignment="1">
      <alignment horizontal="right"/>
    </xf>
    <xf numFmtId="164" fontId="34" fillId="4" borderId="18" xfId="8" applyNumberFormat="1" applyFont="1" applyBorder="1" applyAlignment="1">
      <alignment horizontal="right"/>
    </xf>
    <xf numFmtId="164" fontId="34" fillId="4" borderId="158" xfId="8" applyNumberFormat="1" applyFont="1" applyBorder="1" applyAlignment="1">
      <alignment horizontal="right"/>
    </xf>
    <xf numFmtId="0" fontId="48" fillId="0" borderId="156" xfId="367" applyNumberFormat="1" applyBorder="1">
      <alignment horizontal="right" vertical="center"/>
    </xf>
    <xf numFmtId="49" fontId="48" fillId="0" borderId="0" xfId="367" applyBorder="1">
      <alignment horizontal="right" vertical="center"/>
    </xf>
    <xf numFmtId="9" fontId="89" fillId="20" borderId="161" xfId="950" applyNumberFormat="1" applyBorder="1" applyAlignment="1">
      <alignment horizontal="right"/>
    </xf>
    <xf numFmtId="9" fontId="7" fillId="0" borderId="29" xfId="8" applyNumberFormat="1" applyFill="1" applyBorder="1" applyAlignment="1">
      <alignment horizontal="right"/>
    </xf>
    <xf numFmtId="9" fontId="7" fillId="10" borderId="78" xfId="5" applyNumberFormat="1" applyFill="1" applyBorder="1" applyAlignment="1">
      <alignment horizontal="right"/>
    </xf>
    <xf numFmtId="9" fontId="7" fillId="0" borderId="154" xfId="8" applyNumberFormat="1" applyFill="1" applyBorder="1" applyAlignment="1">
      <alignment horizontal="right"/>
    </xf>
    <xf numFmtId="9" fontId="7" fillId="3" borderId="154" xfId="8" applyNumberFormat="1" applyFill="1" applyBorder="1" applyAlignment="1">
      <alignment horizontal="right"/>
    </xf>
    <xf numFmtId="0" fontId="101" fillId="0" borderId="0" xfId="0" applyFont="1"/>
    <xf numFmtId="164" fontId="7" fillId="6" borderId="77" xfId="950" applyNumberFormat="1" applyFont="1" applyFill="1" applyAlignment="1">
      <alignment horizontal="right"/>
    </xf>
    <xf numFmtId="0" fontId="102" fillId="0" borderId="0" xfId="0" applyFont="1"/>
    <xf numFmtId="9" fontId="89" fillId="21" borderId="161" xfId="0" applyNumberFormat="1" applyFont="1" applyFill="1" applyBorder="1" applyAlignment="1">
      <alignment horizontal="right"/>
    </xf>
    <xf numFmtId="9" fontId="7" fillId="10" borderId="29" xfId="5" applyNumberFormat="1" applyFill="1" applyBorder="1" applyAlignment="1">
      <alignment horizontal="right"/>
    </xf>
    <xf numFmtId="0" fontId="0" fillId="0" borderId="0" xfId="0" quotePrefix="1"/>
    <xf numFmtId="164" fontId="6" fillId="4" borderId="90" xfId="709" applyAlignment="1">
      <alignment horizontal="right"/>
    </xf>
    <xf numFmtId="0" fontId="32" fillId="0" borderId="0" xfId="947" applyFont="1">
      <alignment vertical="top"/>
    </xf>
    <xf numFmtId="0" fontId="32" fillId="0" borderId="0" xfId="947" applyFont="1" applyAlignment="1">
      <alignment vertical="top"/>
    </xf>
    <xf numFmtId="20" fontId="0" fillId="0" borderId="0" xfId="0" applyNumberFormat="1"/>
    <xf numFmtId="164" fontId="104" fillId="22" borderId="164" xfId="951" applyNumberFormat="1" applyBorder="1" applyAlignment="1">
      <alignment horizontal="right"/>
    </xf>
    <xf numFmtId="164" fontId="104" fillId="22" borderId="165" xfId="951" applyNumberFormat="1" applyBorder="1" applyAlignment="1">
      <alignment horizontal="right"/>
    </xf>
    <xf numFmtId="164" fontId="104" fillId="22" borderId="76" xfId="951" applyNumberFormat="1" applyBorder="1" applyAlignment="1">
      <alignment horizontal="right"/>
    </xf>
    <xf numFmtId="49" fontId="104" fillId="22" borderId="75" xfId="951" applyAlignment="1"/>
    <xf numFmtId="164" fontId="6" fillId="4" borderId="42" xfId="709" applyNumberFormat="1" applyBorder="1" applyAlignment="1"/>
    <xf numFmtId="164" fontId="6" fillId="4" borderId="93" xfId="709" applyNumberFormat="1" applyBorder="1" applyAlignment="1"/>
    <xf numFmtId="164" fontId="6" fillId="4" borderId="92" xfId="709" applyNumberFormat="1" applyBorder="1" applyAlignment="1"/>
    <xf numFmtId="164" fontId="7" fillId="3" borderId="126" xfId="5" applyNumberFormat="1" applyBorder="1" applyAlignment="1"/>
    <xf numFmtId="164" fontId="7" fillId="3" borderId="30" xfId="5" applyNumberFormat="1" applyBorder="1" applyAlignment="1"/>
    <xf numFmtId="164" fontId="7" fillId="0" borderId="29" xfId="8" applyNumberFormat="1" applyFill="1" applyBorder="1" applyAlignment="1"/>
    <xf numFmtId="164" fontId="7" fillId="3" borderId="29" xfId="8" applyNumberFormat="1" applyFill="1" applyBorder="1" applyAlignment="1"/>
    <xf numFmtId="164" fontId="7" fillId="3" borderId="128" xfId="5" applyNumberFormat="1" applyBorder="1" applyAlignment="1"/>
    <xf numFmtId="164" fontId="7" fillId="3" borderId="18" xfId="5" applyNumberFormat="1" applyBorder="1" applyAlignment="1"/>
    <xf numFmtId="164" fontId="7" fillId="3" borderId="128" xfId="5" applyNumberFormat="1" applyBorder="1" applyAlignment="1">
      <alignment horizontal="right"/>
    </xf>
    <xf numFmtId="164" fontId="7" fillId="4" borderId="121" xfId="709" applyNumberFormat="1" applyFont="1" applyBorder="1" applyAlignment="1">
      <alignment horizontal="right"/>
    </xf>
    <xf numFmtId="164" fontId="6" fillId="0" borderId="166" xfId="3" applyNumberFormat="1" applyBorder="1" applyAlignment="1"/>
    <xf numFmtId="164" fontId="6" fillId="0" borderId="99" xfId="3" applyNumberFormat="1" applyBorder="1" applyAlignment="1"/>
    <xf numFmtId="164" fontId="7" fillId="0" borderId="167" xfId="8" applyNumberFormat="1" applyFill="1" applyBorder="1" applyAlignment="1"/>
    <xf numFmtId="164" fontId="7" fillId="3" borderId="167" xfId="8" applyNumberFormat="1" applyFill="1" applyBorder="1" applyAlignment="1"/>
    <xf numFmtId="164" fontId="6" fillId="9" borderId="167" xfId="3" applyNumberFormat="1" applyFill="1" applyBorder="1" applyAlignment="1"/>
    <xf numFmtId="164" fontId="7" fillId="3" borderId="126" xfId="5" applyNumberFormat="1" applyBorder="1" applyAlignment="1">
      <alignment horizontal="right"/>
    </xf>
    <xf numFmtId="164" fontId="7" fillId="0" borderId="168" xfId="8" applyNumberFormat="1" applyFill="1" applyBorder="1" applyAlignment="1"/>
    <xf numFmtId="164" fontId="7" fillId="3" borderId="168" xfId="8" applyNumberFormat="1" applyFill="1" applyBorder="1" applyAlignment="1"/>
    <xf numFmtId="164" fontId="7" fillId="0" borderId="121" xfId="8" applyNumberFormat="1" applyFill="1" applyBorder="1" applyAlignment="1">
      <alignment horizontal="right"/>
    </xf>
    <xf numFmtId="164" fontId="7" fillId="3" borderId="121" xfId="8" applyNumberFormat="1" applyFill="1" applyBorder="1" applyAlignment="1">
      <alignment horizontal="right"/>
    </xf>
    <xf numFmtId="164" fontId="6" fillId="10" borderId="168" xfId="5" applyNumberFormat="1" applyFont="1" applyFill="1" applyBorder="1" applyAlignment="1"/>
    <xf numFmtId="0" fontId="6" fillId="3" borderId="169" xfId="5" applyNumberFormat="1" applyFont="1" applyBorder="1" applyAlignment="1"/>
    <xf numFmtId="0" fontId="104" fillId="22" borderId="75" xfId="951" applyNumberFormat="1" applyAlignment="1"/>
    <xf numFmtId="164" fontId="7" fillId="3" borderId="134" xfId="8" applyNumberFormat="1" applyFill="1" applyBorder="1" applyAlignment="1"/>
    <xf numFmtId="164" fontId="7" fillId="10" borderId="134" xfId="5" applyNumberFormat="1" applyFill="1" applyBorder="1" applyAlignment="1">
      <alignment horizontal="right"/>
    </xf>
    <xf numFmtId="0" fontId="7" fillId="3" borderId="170" xfId="5" applyNumberFormat="1" applyBorder="1" applyAlignment="1"/>
    <xf numFmtId="164" fontId="7" fillId="5" borderId="62" xfId="0" applyNumberFormat="1" applyFont="1" applyFill="1" applyBorder="1"/>
    <xf numFmtId="164" fontId="7" fillId="3" borderId="17" xfId="8" applyNumberFormat="1" applyFont="1" applyFill="1" applyBorder="1" applyAlignment="1"/>
    <xf numFmtId="0" fontId="111" fillId="0" borderId="0" xfId="947" applyFont="1">
      <alignment vertical="top"/>
    </xf>
    <xf numFmtId="164" fontId="104" fillId="22" borderId="171" xfId="951" applyNumberFormat="1" applyBorder="1" applyAlignment="1">
      <alignment horizontal="right"/>
    </xf>
    <xf numFmtId="164" fontId="104" fillId="22" borderId="171" xfId="951" applyNumberFormat="1" applyFont="1" applyBorder="1" applyAlignment="1">
      <alignment horizontal="right"/>
    </xf>
    <xf numFmtId="164" fontId="6" fillId="10" borderId="121" xfId="709" applyNumberFormat="1" applyFill="1" applyBorder="1" applyAlignment="1">
      <alignment horizontal="right"/>
    </xf>
    <xf numFmtId="164" fontId="7" fillId="10" borderId="121" xfId="5" applyNumberFormat="1" applyFill="1" applyBorder="1" applyAlignment="1">
      <alignment horizontal="right"/>
    </xf>
    <xf numFmtId="0" fontId="7" fillId="0" borderId="0" xfId="3" applyNumberFormat="1" applyFont="1" applyBorder="1" applyAlignment="1"/>
    <xf numFmtId="164" fontId="7" fillId="3" borderId="6" xfId="5" applyNumberFormat="1">
      <alignment horizontal="right" vertical="center"/>
    </xf>
    <xf numFmtId="164" fontId="7" fillId="10" borderId="29" xfId="5" applyNumberFormat="1" applyFill="1" applyBorder="1" applyAlignment="1"/>
    <xf numFmtId="0" fontId="43" fillId="0" borderId="165" xfId="366" applyNumberFormat="1" applyBorder="1">
      <alignment horizontal="right" vertical="center"/>
    </xf>
    <xf numFmtId="49" fontId="43" fillId="0" borderId="76" xfId="366" applyBorder="1">
      <alignment horizontal="right" vertical="center"/>
    </xf>
    <xf numFmtId="49" fontId="43" fillId="0" borderId="75" xfId="366" applyFont="1" applyAlignment="1">
      <alignment horizontal="left" vertical="center"/>
    </xf>
    <xf numFmtId="0" fontId="103" fillId="0" borderId="0" xfId="7" applyNumberFormat="1" applyFont="1" applyBorder="1"/>
    <xf numFmtId="0" fontId="103" fillId="0" borderId="172" xfId="7" applyNumberFormat="1" applyFont="1" applyBorder="1"/>
    <xf numFmtId="0" fontId="34" fillId="0" borderId="0" xfId="0" applyFont="1" applyAlignment="1">
      <alignment horizontal="right" vertical="center"/>
    </xf>
    <xf numFmtId="0" fontId="34" fillId="0" borderId="0" xfId="0" applyFont="1" applyAlignment="1">
      <alignment vertical="center"/>
    </xf>
    <xf numFmtId="0" fontId="117" fillId="23" borderId="0" xfId="0" applyFont="1" applyFill="1" applyAlignment="1">
      <alignment horizontal="left" vertical="center" indent="1"/>
    </xf>
    <xf numFmtId="0" fontId="118" fillId="25" borderId="0" xfId="0" applyFont="1" applyFill="1" applyAlignment="1">
      <alignment horizontal="left" vertical="center" indent="1"/>
    </xf>
    <xf numFmtId="0" fontId="118" fillId="24" borderId="0" xfId="0" applyFont="1" applyFill="1" applyAlignment="1">
      <alignment horizontal="left" vertical="center" indent="1"/>
    </xf>
    <xf numFmtId="0" fontId="118" fillId="23" borderId="0" xfId="0" applyFont="1" applyFill="1" applyAlignment="1">
      <alignment horizontal="left" vertical="center" indent="1"/>
    </xf>
    <xf numFmtId="0" fontId="118" fillId="26" borderId="0" xfId="0" applyFont="1" applyFill="1" applyAlignment="1">
      <alignment horizontal="left" vertical="center" indent="1"/>
    </xf>
    <xf numFmtId="0" fontId="52" fillId="0" borderId="173" xfId="712" applyBorder="1"/>
    <xf numFmtId="0" fontId="52" fillId="0" borderId="172" xfId="712" applyBorder="1"/>
    <xf numFmtId="0" fontId="113" fillId="0" borderId="0" xfId="712" applyFont="1" applyAlignment="1">
      <alignment vertical="top"/>
    </xf>
    <xf numFmtId="0" fontId="114" fillId="0" borderId="0" xfId="712" applyFont="1" applyAlignment="1">
      <alignment vertical="top"/>
    </xf>
    <xf numFmtId="0" fontId="112" fillId="0" borderId="0" xfId="712" applyFont="1" applyAlignment="1">
      <alignment vertical="top"/>
    </xf>
    <xf numFmtId="0" fontId="115" fillId="0" borderId="0" xfId="712" applyFont="1" applyAlignment="1">
      <alignment vertical="top"/>
    </xf>
    <xf numFmtId="0" fontId="116" fillId="0" borderId="0" xfId="712" applyFont="1" applyAlignment="1">
      <alignment vertical="top"/>
    </xf>
    <xf numFmtId="0" fontId="65" fillId="0" borderId="0" xfId="0" applyFont="1"/>
    <xf numFmtId="0" fontId="32" fillId="0" borderId="0" xfId="6" applyFont="1">
      <alignment vertical="top"/>
    </xf>
    <xf numFmtId="0" fontId="0" fillId="0" borderId="0" xfId="0"/>
    <xf numFmtId="0" fontId="7" fillId="3" borderId="6" xfId="5" applyNumberFormat="1" applyFont="1" applyBorder="1" applyAlignment="1"/>
    <xf numFmtId="0" fontId="0" fillId="0" borderId="0" xfId="0"/>
    <xf numFmtId="0" fontId="13" fillId="0" borderId="0" xfId="7"/>
    <xf numFmtId="0" fontId="64" fillId="0" borderId="0" xfId="0" applyFont="1"/>
    <xf numFmtId="0" fontId="3" fillId="0" borderId="0" xfId="1" applyNumberFormat="1">
      <alignment horizontal="left"/>
    </xf>
    <xf numFmtId="0" fontId="65" fillId="13" borderId="0" xfId="0" applyFont="1" applyFill="1" applyAlignment="1">
      <alignment horizontal="left" vertical="center" wrapText="1" indent="2"/>
    </xf>
    <xf numFmtId="0" fontId="10" fillId="0" borderId="0" xfId="6" applyAlignment="1">
      <alignment vertical="top" wrapText="1"/>
    </xf>
    <xf numFmtId="0" fontId="0" fillId="0" borderId="0" xfId="0"/>
    <xf numFmtId="0" fontId="10" fillId="0" borderId="0" xfId="6" applyFont="1" applyFill="1" applyAlignment="1">
      <alignment horizontal="left" vertical="top" wrapText="1"/>
    </xf>
    <xf numFmtId="0" fontId="10" fillId="0" borderId="0" xfId="6">
      <alignment vertical="top"/>
    </xf>
    <xf numFmtId="0" fontId="10" fillId="0" borderId="0" xfId="6" applyFont="1" applyAlignment="1">
      <alignment vertical="center" wrapText="1"/>
    </xf>
    <xf numFmtId="49" fontId="4" fillId="0" borderId="1" xfId="0" applyNumberFormat="1" applyFont="1" applyBorder="1" applyAlignment="1">
      <alignment horizontal="center" vertical="center"/>
    </xf>
    <xf numFmtId="0" fontId="22" fillId="0" borderId="0" xfId="0" applyFont="1" applyAlignment="1">
      <alignment vertical="center" wrapText="1"/>
    </xf>
    <xf numFmtId="49" fontId="3" fillId="0" borderId="0" xfId="1">
      <alignment horizontal="left"/>
    </xf>
    <xf numFmtId="49" fontId="4" fillId="0" borderId="1" xfId="2" applyAlignment="1">
      <alignment horizontal="center" vertical="center"/>
    </xf>
    <xf numFmtId="49" fontId="4" fillId="0" borderId="0" xfId="2" applyBorder="1" applyAlignment="1">
      <alignment horizontal="center" vertical="center"/>
    </xf>
    <xf numFmtId="49" fontId="25" fillId="0" borderId="0" xfId="10">
      <alignment horizontal="left"/>
    </xf>
    <xf numFmtId="0" fontId="3" fillId="0" borderId="0" xfId="1" applyNumberFormat="1" applyAlignment="1">
      <alignment horizontal="left" wrapText="1"/>
    </xf>
    <xf numFmtId="0" fontId="10" fillId="0" borderId="0" xfId="0" applyFont="1" applyAlignment="1">
      <alignment horizontal="left" vertical="center" wrapText="1"/>
    </xf>
    <xf numFmtId="0" fontId="66" fillId="0" borderId="0" xfId="0" applyFont="1" applyAlignment="1">
      <alignment horizontal="left" vertical="center" wrapText="1"/>
    </xf>
    <xf numFmtId="0" fontId="0" fillId="0" borderId="0" xfId="0" applyBorder="1"/>
    <xf numFmtId="0" fontId="10" fillId="0" borderId="0" xfId="6" applyFont="1" applyFill="1">
      <alignment vertical="top"/>
    </xf>
    <xf numFmtId="0" fontId="3" fillId="0" borderId="0" xfId="1" applyNumberFormat="1" applyAlignment="1">
      <alignment horizontal="left"/>
    </xf>
    <xf numFmtId="49" fontId="4" fillId="0" borderId="1" xfId="2" applyAlignment="1">
      <alignment horizontal="right" vertical="center"/>
    </xf>
    <xf numFmtId="49" fontId="4" fillId="0" borderId="0" xfId="2" applyBorder="1" applyAlignment="1">
      <alignment horizontal="right" vertical="top" wrapText="1"/>
    </xf>
    <xf numFmtId="49" fontId="4" fillId="0" borderId="1" xfId="2" applyAlignment="1">
      <alignment horizontal="right" vertical="top"/>
    </xf>
    <xf numFmtId="0" fontId="22" fillId="0" borderId="0" xfId="0" applyFont="1" applyAlignment="1">
      <alignment horizontal="left" vertical="top" wrapText="1"/>
    </xf>
    <xf numFmtId="49" fontId="32" fillId="12" borderId="0" xfId="0" applyNumberFormat="1" applyFont="1" applyFill="1" applyBorder="1" applyAlignment="1">
      <alignment horizontal="justify" vertical="top" wrapText="1"/>
    </xf>
    <xf numFmtId="0" fontId="10" fillId="0" borderId="0" xfId="6" applyFont="1" applyFill="1" applyAlignment="1">
      <alignment vertical="top" wrapText="1"/>
    </xf>
    <xf numFmtId="0" fontId="10" fillId="0" borderId="0" xfId="6" applyFont="1" applyFill="1" applyAlignment="1">
      <alignment vertical="top"/>
    </xf>
    <xf numFmtId="49" fontId="32" fillId="0" borderId="0" xfId="0" applyNumberFormat="1" applyFont="1" applyFill="1" applyBorder="1" applyAlignment="1">
      <alignment horizontal="justify" vertical="top" wrapText="1"/>
    </xf>
    <xf numFmtId="0" fontId="32" fillId="12" borderId="0" xfId="0" applyNumberFormat="1" applyFont="1" applyFill="1" applyBorder="1" applyAlignment="1">
      <alignment horizontal="justify" vertical="top" wrapText="1"/>
    </xf>
    <xf numFmtId="0" fontId="10" fillId="0" borderId="0" xfId="6" applyAlignment="1">
      <alignment horizontal="left" vertical="top" wrapText="1"/>
    </xf>
    <xf numFmtId="0" fontId="10" fillId="0" borderId="0" xfId="0" applyFont="1" applyAlignment="1">
      <alignment horizontal="left" vertical="top" wrapText="1"/>
    </xf>
    <xf numFmtId="0" fontId="65" fillId="0" borderId="0" xfId="0" applyFont="1"/>
    <xf numFmtId="0" fontId="17" fillId="0" borderId="0" xfId="0" applyFont="1"/>
    <xf numFmtId="0" fontId="10" fillId="0" borderId="0" xfId="947">
      <alignment vertical="top"/>
    </xf>
    <xf numFmtId="0" fontId="10" fillId="0" borderId="0" xfId="947" applyAlignment="1">
      <alignment vertical="top" wrapText="1"/>
    </xf>
    <xf numFmtId="0" fontId="10" fillId="0" borderId="0" xfId="947" applyFill="1" applyAlignment="1">
      <alignment horizontal="left" vertical="top" wrapText="1"/>
    </xf>
    <xf numFmtId="0" fontId="3" fillId="0" borderId="0" xfId="1" applyNumberFormat="1" applyAlignment="1"/>
    <xf numFmtId="49" fontId="27" fillId="0" borderId="82" xfId="369">
      <alignment horizontal="right" vertical="center"/>
    </xf>
    <xf numFmtId="49" fontId="27" fillId="0" borderId="82" xfId="369" applyBorder="1" applyAlignment="1">
      <alignment horizontal="left" vertical="center" wrapText="1"/>
    </xf>
    <xf numFmtId="49" fontId="27" fillId="0" borderId="90" xfId="369" applyBorder="1" applyAlignment="1">
      <alignment horizontal="right"/>
    </xf>
    <xf numFmtId="0" fontId="13" fillId="0" borderId="0" xfId="7"/>
    <xf numFmtId="49" fontId="27" fillId="0" borderId="107" xfId="369" applyBorder="1" applyAlignment="1">
      <alignment horizontal="left" vertical="center" wrapText="1"/>
    </xf>
    <xf numFmtId="0" fontId="0" fillId="0" borderId="107" xfId="0" applyBorder="1" applyAlignment="1">
      <alignment vertical="center" wrapText="1"/>
    </xf>
    <xf numFmtId="49" fontId="27" fillId="0" borderId="82" xfId="369" applyBorder="1">
      <alignment horizontal="right" vertical="center"/>
    </xf>
    <xf numFmtId="0" fontId="10" fillId="6" borderId="0" xfId="947" applyFill="1" applyAlignment="1">
      <alignment vertical="top" wrapText="1"/>
    </xf>
    <xf numFmtId="0" fontId="10" fillId="6" borderId="0" xfId="947" applyFill="1">
      <alignment vertical="top"/>
    </xf>
    <xf numFmtId="49" fontId="27" fillId="0" borderId="82" xfId="369" applyAlignment="1">
      <alignment horizontal="right"/>
    </xf>
    <xf numFmtId="49" fontId="27" fillId="0" borderId="82" xfId="369" applyNumberFormat="1">
      <alignment horizontal="right" vertical="center"/>
    </xf>
    <xf numFmtId="0" fontId="13" fillId="0" borderId="0" xfId="7" applyNumberFormat="1" applyAlignment="1">
      <alignment horizontal="left" vertical="top"/>
    </xf>
    <xf numFmtId="0" fontId="13" fillId="0" borderId="0" xfId="7" applyNumberFormat="1" applyAlignment="1">
      <alignment horizontal="left" vertical="top" wrapText="1"/>
    </xf>
    <xf numFmtId="0" fontId="13" fillId="0" borderId="0" xfId="0" applyFont="1" applyAlignment="1">
      <alignment horizontal="left"/>
    </xf>
    <xf numFmtId="0" fontId="3" fillId="0" borderId="0" xfId="1" applyNumberFormat="1" applyAlignment="1">
      <alignment horizontal="left" vertical="center" wrapText="1"/>
    </xf>
    <xf numFmtId="0" fontId="13" fillId="0" borderId="0" xfId="7" applyAlignment="1">
      <alignment horizontal="left" vertical="top" wrapText="1"/>
    </xf>
    <xf numFmtId="0" fontId="13" fillId="0" borderId="0" xfId="7" applyAlignment="1">
      <alignment horizontal="left" wrapText="1"/>
    </xf>
    <xf numFmtId="0" fontId="27" fillId="0" borderId="82" xfId="369" applyNumberFormat="1" applyAlignment="1">
      <alignment horizontal="right" vertical="center"/>
    </xf>
    <xf numFmtId="49" fontId="27" fillId="0" borderId="82" xfId="369" applyAlignment="1">
      <alignment horizontal="right" vertical="center"/>
    </xf>
    <xf numFmtId="49" fontId="51" fillId="0" borderId="82" xfId="369" applyNumberFormat="1" applyFont="1" applyAlignment="1">
      <alignment horizontal="left" vertical="top"/>
    </xf>
    <xf numFmtId="49" fontId="27" fillId="0" borderId="0" xfId="369" applyNumberFormat="1" applyFont="1" applyBorder="1" applyAlignment="1">
      <alignment vertical="center"/>
    </xf>
    <xf numFmtId="0" fontId="73" fillId="16" borderId="147" xfId="948" applyNumberFormat="1" applyBorder="1" applyAlignment="1">
      <alignment horizontal="left" vertical="center"/>
    </xf>
    <xf numFmtId="0" fontId="73" fillId="16" borderId="82" xfId="948" applyNumberFormat="1" applyBorder="1" applyAlignment="1">
      <alignment horizontal="left" vertical="center"/>
    </xf>
    <xf numFmtId="0" fontId="10" fillId="0" borderId="0" xfId="947" applyBorder="1" applyAlignment="1">
      <alignment horizontal="left"/>
    </xf>
    <xf numFmtId="0" fontId="10" fillId="0" borderId="0" xfId="947" applyAlignment="1">
      <alignment horizontal="left" vertical="top" wrapText="1"/>
    </xf>
    <xf numFmtId="0" fontId="27" fillId="0" borderId="82" xfId="369" applyNumberFormat="1">
      <alignment horizontal="right" vertical="center"/>
    </xf>
    <xf numFmtId="49" fontId="51" fillId="0" borderId="82" xfId="369" applyNumberFormat="1" applyFont="1" applyAlignment="1">
      <alignment horizontal="left" vertical="center"/>
    </xf>
    <xf numFmtId="0" fontId="27" fillId="0" borderId="82" xfId="0" applyFont="1" applyBorder="1" applyAlignment="1">
      <alignment horizontal="right" vertical="center"/>
    </xf>
    <xf numFmtId="0" fontId="10" fillId="0" borderId="0" xfId="947" applyAlignment="1">
      <alignment horizontal="left" vertical="top"/>
    </xf>
    <xf numFmtId="0" fontId="32" fillId="0" borderId="0" xfId="6" applyFont="1">
      <alignment vertical="top"/>
    </xf>
    <xf numFmtId="0" fontId="32" fillId="0" borderId="0" xfId="6" applyFont="1" applyAlignment="1"/>
    <xf numFmtId="0" fontId="32" fillId="0" borderId="0" xfId="6" applyFont="1" applyAlignment="1">
      <alignment vertical="top" wrapText="1"/>
    </xf>
    <xf numFmtId="0" fontId="10" fillId="0" borderId="0" xfId="947" applyAlignment="1">
      <alignment vertical="center"/>
    </xf>
    <xf numFmtId="0" fontId="86" fillId="0" borderId="0" xfId="947" applyFont="1">
      <alignment vertical="top"/>
    </xf>
    <xf numFmtId="0" fontId="32" fillId="0" borderId="0" xfId="6" applyFont="1" applyAlignment="1">
      <alignment horizontal="left" vertical="top"/>
    </xf>
    <xf numFmtId="0" fontId="32" fillId="0" borderId="0" xfId="6" applyFont="1" applyAlignment="1">
      <alignment horizontal="left" vertical="top" wrapText="1"/>
    </xf>
    <xf numFmtId="0" fontId="10" fillId="0" borderId="0" xfId="6" applyFont="1">
      <alignment vertical="top"/>
    </xf>
    <xf numFmtId="0" fontId="90" fillId="0" borderId="0" xfId="6" applyFont="1">
      <alignment vertical="top"/>
    </xf>
    <xf numFmtId="49" fontId="48" fillId="0" borderId="77" xfId="367" applyAlignment="1">
      <alignment horizontal="center" vertical="center"/>
    </xf>
    <xf numFmtId="0" fontId="10" fillId="0" borderId="0" xfId="6" applyFont="1" applyAlignment="1">
      <alignment vertical="top" wrapText="1"/>
    </xf>
    <xf numFmtId="0" fontId="10" fillId="0" borderId="0" xfId="6" applyFont="1" applyAlignment="1">
      <alignment horizontal="left" vertical="top" wrapText="1"/>
    </xf>
    <xf numFmtId="0" fontId="48" fillId="0" borderId="77" xfId="367" applyNumberFormat="1" applyBorder="1" applyAlignment="1">
      <alignment horizontal="center" vertical="center"/>
    </xf>
    <xf numFmtId="0" fontId="48" fillId="0" borderId="78" xfId="367" applyNumberFormat="1" applyBorder="1" applyAlignment="1">
      <alignment horizontal="center" vertical="center"/>
    </xf>
    <xf numFmtId="0" fontId="0" fillId="0" borderId="0" xfId="0" applyAlignment="1">
      <alignment wrapText="1"/>
    </xf>
    <xf numFmtId="0" fontId="10" fillId="0" borderId="0" xfId="947" applyFont="1" applyAlignment="1">
      <alignment vertical="top" wrapText="1"/>
    </xf>
    <xf numFmtId="0" fontId="103" fillId="0" borderId="0" xfId="0" applyFont="1" applyAlignment="1">
      <alignment wrapText="1"/>
    </xf>
    <xf numFmtId="0" fontId="25" fillId="0" borderId="0" xfId="10" applyNumberFormat="1">
      <alignment horizontal="left"/>
    </xf>
    <xf numFmtId="0" fontId="32" fillId="0" borderId="0" xfId="947" applyFont="1" applyAlignment="1">
      <alignment horizontal="left" vertical="top" wrapText="1"/>
    </xf>
    <xf numFmtId="0" fontId="32" fillId="0" borderId="0" xfId="947" applyFont="1" applyAlignment="1">
      <alignment vertical="top" wrapText="1"/>
    </xf>
    <xf numFmtId="0" fontId="32" fillId="0" borderId="0" xfId="947" applyFont="1">
      <alignment vertical="top"/>
    </xf>
  </cellXfs>
  <cellStyles count="952">
    <cellStyle name="1." xfId="1"/>
    <cellStyle name="1.1" xfId="10"/>
    <cellStyle name="2." xfId="11"/>
    <cellStyle name="2.1" xfId="12"/>
    <cellStyle name="BANDE blanc.xls" xfId="13"/>
    <cellStyle name="BANDE BLEUE" xfId="14"/>
    <cellStyle name="Cellule liée 2" xfId="368"/>
    <cellStyle name="Commentaire 2" xfId="947"/>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3" builtinId="9" hidden="1"/>
    <cellStyle name="Followed Hyperlink" xfId="714" builtinId="9" hidden="1"/>
    <cellStyle name="Followed Hyperlink" xfId="715" builtinId="9" hidden="1"/>
    <cellStyle name="Followed Hyperlink" xfId="716" builtinId="9" hidden="1"/>
    <cellStyle name="Followed Hyperlink" xfId="717" builtinId="9" hidden="1"/>
    <cellStyle name="Followed Hyperlink" xfId="718" builtinId="9" hidden="1"/>
    <cellStyle name="Followed Hyperlink" xfId="719" builtinId="9" hidden="1"/>
    <cellStyle name="Followed Hyperlink" xfId="720" builtinId="9" hidden="1"/>
    <cellStyle name="Followed Hyperlink" xfId="721" builtinId="9" hidden="1"/>
    <cellStyle name="Followed Hyperlink" xfId="722"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732" builtinId="9" hidden="1"/>
    <cellStyle name="Followed Hyperlink" xfId="733" builtinId="9" hidden="1"/>
    <cellStyle name="Followed Hyperlink" xfId="734" builtinId="9" hidden="1"/>
    <cellStyle name="Followed Hyperlink" xfId="735" builtinId="9" hidden="1"/>
    <cellStyle name="Followed Hyperlink" xfId="736" builtinId="9" hidden="1"/>
    <cellStyle name="Followed Hyperlink" xfId="737" builtinId="9" hidden="1"/>
    <cellStyle name="Followed Hyperlink" xfId="738"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744" builtinId="9" hidden="1"/>
    <cellStyle name="Followed Hyperlink" xfId="745" builtinId="9" hidden="1"/>
    <cellStyle name="Followed Hyperlink" xfId="746" builtinId="9" hidden="1"/>
    <cellStyle name="Followed Hyperlink" xfId="747" builtinId="9" hidden="1"/>
    <cellStyle name="Followed Hyperlink" xfId="748" builtinId="9" hidden="1"/>
    <cellStyle name="Followed Hyperlink" xfId="749" builtinId="9" hidden="1"/>
    <cellStyle name="Followed Hyperlink" xfId="750" builtinId="9" hidden="1"/>
    <cellStyle name="Followed Hyperlink" xfId="751" builtinId="9" hidden="1"/>
    <cellStyle name="Followed Hyperlink" xfId="752" builtinId="9" hidden="1"/>
    <cellStyle name="Followed Hyperlink" xfId="753" builtinId="9" hidden="1"/>
    <cellStyle name="Followed Hyperlink" xfId="754" builtinId="9" hidden="1"/>
    <cellStyle name="Followed Hyperlink" xfId="755" builtinId="9" hidden="1"/>
    <cellStyle name="Followed Hyperlink" xfId="756" builtinId="9" hidden="1"/>
    <cellStyle name="Followed Hyperlink" xfId="757" builtinId="9" hidden="1"/>
    <cellStyle name="Followed Hyperlink" xfId="758" builtinId="9" hidden="1"/>
    <cellStyle name="Followed Hyperlink" xfId="759" builtinId="9" hidden="1"/>
    <cellStyle name="Followed Hyperlink" xfId="760" builtinId="9" hidden="1"/>
    <cellStyle name="Followed Hyperlink" xfId="761" builtinId="9" hidden="1"/>
    <cellStyle name="Followed Hyperlink" xfId="762" builtinId="9" hidden="1"/>
    <cellStyle name="Followed Hyperlink" xfId="763" builtinId="9" hidden="1"/>
    <cellStyle name="Followed Hyperlink" xfId="764" builtinId="9" hidden="1"/>
    <cellStyle name="Followed Hyperlink" xfId="765" builtinId="9" hidden="1"/>
    <cellStyle name="Followed Hyperlink" xfId="766" builtinId="9" hidden="1"/>
    <cellStyle name="Followed Hyperlink" xfId="767" builtinId="9" hidden="1"/>
    <cellStyle name="Followed Hyperlink" xfId="768" builtinId="9" hidden="1"/>
    <cellStyle name="Followed Hyperlink" xfId="769" builtinId="9" hidden="1"/>
    <cellStyle name="Followed Hyperlink" xfId="770" builtinId="9" hidden="1"/>
    <cellStyle name="Followed Hyperlink" xfId="771" builtinId="9" hidden="1"/>
    <cellStyle name="Followed Hyperlink" xfId="772" builtinId="9" hidden="1"/>
    <cellStyle name="Followed Hyperlink" xfId="773" builtinId="9" hidden="1"/>
    <cellStyle name="Followed Hyperlink" xfId="774" builtinId="9" hidden="1"/>
    <cellStyle name="Followed Hyperlink" xfId="775" builtinId="9" hidden="1"/>
    <cellStyle name="Followed Hyperlink" xfId="776" builtinId="9" hidden="1"/>
    <cellStyle name="Followed Hyperlink" xfId="777" builtinId="9" hidden="1"/>
    <cellStyle name="Followed Hyperlink" xfId="778" builtinId="9" hidden="1"/>
    <cellStyle name="Followed Hyperlink" xfId="779" builtinId="9" hidden="1"/>
    <cellStyle name="Followed Hyperlink" xfId="780" builtinId="9" hidden="1"/>
    <cellStyle name="Followed Hyperlink" xfId="781" builtinId="9" hidden="1"/>
    <cellStyle name="Followed Hyperlink" xfId="782" builtinId="9" hidden="1"/>
    <cellStyle name="Followed Hyperlink" xfId="783" builtinId="9" hidden="1"/>
    <cellStyle name="Followed Hyperlink" xfId="784" builtinId="9" hidden="1"/>
    <cellStyle name="Followed Hyperlink" xfId="785" builtinId="9" hidden="1"/>
    <cellStyle name="Followed Hyperlink" xfId="786" builtinId="9" hidden="1"/>
    <cellStyle name="Followed Hyperlink" xfId="787" builtinId="9" hidden="1"/>
    <cellStyle name="Followed Hyperlink" xfId="788" builtinId="9" hidden="1"/>
    <cellStyle name="Followed Hyperlink" xfId="789" builtinId="9" hidden="1"/>
    <cellStyle name="Followed Hyperlink" xfId="790" builtinId="9" hidden="1"/>
    <cellStyle name="Followed Hyperlink" xfId="791" builtinId="9" hidden="1"/>
    <cellStyle name="Followed Hyperlink" xfId="792" builtinId="9" hidden="1"/>
    <cellStyle name="Followed Hyperlink" xfId="793" builtinId="9" hidden="1"/>
    <cellStyle name="Followed Hyperlink" xfId="794" builtinId="9" hidden="1"/>
    <cellStyle name="Followed Hyperlink" xfId="795" builtinId="9" hidden="1"/>
    <cellStyle name="Followed Hyperlink" xfId="796" builtinId="9" hidden="1"/>
    <cellStyle name="Followed Hyperlink" xfId="797" builtinId="9" hidden="1"/>
    <cellStyle name="Followed Hyperlink" xfId="798" builtinId="9" hidden="1"/>
    <cellStyle name="Followed Hyperlink" xfId="799" builtinId="9" hidden="1"/>
    <cellStyle name="Followed Hyperlink" xfId="800" builtinId="9" hidden="1"/>
    <cellStyle name="Followed Hyperlink" xfId="801" builtinId="9" hidden="1"/>
    <cellStyle name="Followed Hyperlink" xfId="802" builtinId="9" hidden="1"/>
    <cellStyle name="Followed Hyperlink" xfId="803" builtinId="9" hidden="1"/>
    <cellStyle name="Followed Hyperlink" xfId="804" builtinId="9" hidden="1"/>
    <cellStyle name="Followed Hyperlink" xfId="805" builtinId="9" hidden="1"/>
    <cellStyle name="Followed Hyperlink" xfId="806" builtinId="9" hidden="1"/>
    <cellStyle name="Followed Hyperlink" xfId="807" builtinId="9" hidden="1"/>
    <cellStyle name="Followed Hyperlink" xfId="808" builtinId="9" hidden="1"/>
    <cellStyle name="Followed Hyperlink" xfId="809" builtinId="9" hidden="1"/>
    <cellStyle name="Followed Hyperlink" xfId="810" builtinId="9" hidden="1"/>
    <cellStyle name="Followed Hyperlink" xfId="811" builtinId="9" hidden="1"/>
    <cellStyle name="Followed Hyperlink" xfId="812" builtinId="9" hidden="1"/>
    <cellStyle name="Followed Hyperlink" xfId="813" builtinId="9" hidden="1"/>
    <cellStyle name="Followed Hyperlink" xfId="814" builtinId="9" hidden="1"/>
    <cellStyle name="Followed Hyperlink" xfId="815" builtinId="9" hidden="1"/>
    <cellStyle name="Followed Hyperlink" xfId="816" builtinId="9" hidden="1"/>
    <cellStyle name="Followed Hyperlink" xfId="817" builtinId="9" hidden="1"/>
    <cellStyle name="Followed Hyperlink" xfId="818" builtinId="9" hidden="1"/>
    <cellStyle name="Followed Hyperlink" xfId="819" builtinId="9" hidden="1"/>
    <cellStyle name="Followed Hyperlink" xfId="820" builtinId="9" hidden="1"/>
    <cellStyle name="Followed Hyperlink" xfId="821" builtinId="9" hidden="1"/>
    <cellStyle name="Followed Hyperlink" xfId="822" builtinId="9" hidden="1"/>
    <cellStyle name="Followed Hyperlink" xfId="823" builtinId="9" hidden="1"/>
    <cellStyle name="Followed Hyperlink" xfId="824" builtinId="9" hidden="1"/>
    <cellStyle name="Followed Hyperlink" xfId="825" builtinId="9" hidden="1"/>
    <cellStyle name="Followed Hyperlink" xfId="826" builtinId="9" hidden="1"/>
    <cellStyle name="Followed Hyperlink" xfId="827" builtinId="9" hidden="1"/>
    <cellStyle name="Followed Hyperlink" xfId="828" builtinId="9" hidden="1"/>
    <cellStyle name="Followed Hyperlink" xfId="829" builtinId="9" hidden="1"/>
    <cellStyle name="Followed Hyperlink" xfId="830" builtinId="9" hidden="1"/>
    <cellStyle name="Followed Hyperlink" xfId="831" builtinId="9" hidden="1"/>
    <cellStyle name="Followed Hyperlink" xfId="832" builtinId="9" hidden="1"/>
    <cellStyle name="Followed Hyperlink" xfId="833" builtinId="9" hidden="1"/>
    <cellStyle name="Followed Hyperlink" xfId="834" builtinId="9" hidden="1"/>
    <cellStyle name="Followed Hyperlink" xfId="835" builtinId="9" hidden="1"/>
    <cellStyle name="Followed Hyperlink" xfId="836" builtinId="9" hidden="1"/>
    <cellStyle name="Followed Hyperlink" xfId="837" builtinId="9" hidden="1"/>
    <cellStyle name="Followed Hyperlink" xfId="838" builtinId="9" hidden="1"/>
    <cellStyle name="Followed Hyperlink" xfId="839" builtinId="9" hidden="1"/>
    <cellStyle name="Followed Hyperlink" xfId="840" builtinId="9" hidden="1"/>
    <cellStyle name="Followed Hyperlink" xfId="841" builtinId="9" hidden="1"/>
    <cellStyle name="Followed Hyperlink" xfId="842" builtinId="9" hidden="1"/>
    <cellStyle name="Followed Hyperlink" xfId="843" builtinId="9" hidden="1"/>
    <cellStyle name="Followed Hyperlink" xfId="844" builtinId="9" hidden="1"/>
    <cellStyle name="Followed Hyperlink" xfId="845" builtinId="9" hidden="1"/>
    <cellStyle name="Followed Hyperlink" xfId="846" builtinId="9" hidden="1"/>
    <cellStyle name="Followed Hyperlink" xfId="847" builtinId="9" hidden="1"/>
    <cellStyle name="Followed Hyperlink" xfId="848" builtinId="9" hidden="1"/>
    <cellStyle name="Followed Hyperlink" xfId="849" builtinId="9" hidden="1"/>
    <cellStyle name="Followed Hyperlink" xfId="850" builtinId="9" hidden="1"/>
    <cellStyle name="Followed Hyperlink" xfId="851" builtinId="9" hidden="1"/>
    <cellStyle name="Followed Hyperlink" xfId="852" builtinId="9" hidden="1"/>
    <cellStyle name="Followed Hyperlink" xfId="853" builtinId="9" hidden="1"/>
    <cellStyle name="Followed Hyperlink" xfId="854" builtinId="9" hidden="1"/>
    <cellStyle name="Followed Hyperlink" xfId="855" builtinId="9" hidden="1"/>
    <cellStyle name="Followed Hyperlink" xfId="856" builtinId="9" hidden="1"/>
    <cellStyle name="Followed Hyperlink" xfId="857" builtinId="9" hidden="1"/>
    <cellStyle name="Followed Hyperlink" xfId="858" builtinId="9" hidden="1"/>
    <cellStyle name="Followed Hyperlink" xfId="859" builtinId="9" hidden="1"/>
    <cellStyle name="Followed Hyperlink" xfId="860" builtinId="9" hidden="1"/>
    <cellStyle name="Followed Hyperlink" xfId="861" builtinId="9" hidden="1"/>
    <cellStyle name="Followed Hyperlink" xfId="862" builtinId="9" hidden="1"/>
    <cellStyle name="Followed Hyperlink" xfId="863" builtinId="9" hidden="1"/>
    <cellStyle name="Followed Hyperlink" xfId="864" builtinId="9" hidden="1"/>
    <cellStyle name="Followed Hyperlink" xfId="865" builtinId="9" hidden="1"/>
    <cellStyle name="Followed Hyperlink" xfId="866" builtinId="9" hidden="1"/>
    <cellStyle name="Followed Hyperlink" xfId="867" builtinId="9" hidden="1"/>
    <cellStyle name="Followed Hyperlink" xfId="868" builtinId="9" hidden="1"/>
    <cellStyle name="Followed Hyperlink" xfId="869" builtinId="9" hidden="1"/>
    <cellStyle name="Followed Hyperlink" xfId="870" builtinId="9" hidden="1"/>
    <cellStyle name="Followed Hyperlink" xfId="871" builtinId="9" hidden="1"/>
    <cellStyle name="Followed Hyperlink" xfId="872" builtinId="9" hidden="1"/>
    <cellStyle name="Followed Hyperlink" xfId="873" builtinId="9" hidden="1"/>
    <cellStyle name="Followed Hyperlink" xfId="874" builtinId="9" hidden="1"/>
    <cellStyle name="Followed Hyperlink" xfId="875" builtinId="9" hidden="1"/>
    <cellStyle name="Followed Hyperlink" xfId="876" builtinId="9" hidden="1"/>
    <cellStyle name="Followed Hyperlink" xfId="877" builtinId="9" hidden="1"/>
    <cellStyle name="Followed Hyperlink" xfId="878" builtinId="9" hidden="1"/>
    <cellStyle name="Followed Hyperlink" xfId="879" builtinId="9" hidden="1"/>
    <cellStyle name="Followed Hyperlink" xfId="880" builtinId="9" hidden="1"/>
    <cellStyle name="Followed Hyperlink" xfId="881" builtinId="9" hidden="1"/>
    <cellStyle name="Followed Hyperlink" xfId="882" builtinId="9" hidden="1"/>
    <cellStyle name="Followed Hyperlink" xfId="883" builtinId="9" hidden="1"/>
    <cellStyle name="Followed Hyperlink" xfId="884" builtinId="9" hidden="1"/>
    <cellStyle name="Followed Hyperlink" xfId="885" builtinId="9" hidden="1"/>
    <cellStyle name="Followed Hyperlink" xfId="886" builtinId="9" hidden="1"/>
    <cellStyle name="Followed Hyperlink" xfId="887" builtinId="9" hidden="1"/>
    <cellStyle name="Followed Hyperlink" xfId="888" builtinId="9" hidden="1"/>
    <cellStyle name="Followed Hyperlink" xfId="889" builtinId="9" hidden="1"/>
    <cellStyle name="Followed Hyperlink" xfId="890" builtinId="9" hidden="1"/>
    <cellStyle name="Followed Hyperlink" xfId="891" builtinId="9" hidden="1"/>
    <cellStyle name="Followed Hyperlink" xfId="892" builtinId="9" hidden="1"/>
    <cellStyle name="Followed Hyperlink" xfId="893" builtinId="9" hidden="1"/>
    <cellStyle name="Followed Hyperlink" xfId="894" builtinId="9" hidden="1"/>
    <cellStyle name="Followed Hyperlink" xfId="895" builtinId="9" hidden="1"/>
    <cellStyle name="Followed Hyperlink" xfId="896" builtinId="9" hidden="1"/>
    <cellStyle name="Followed Hyperlink" xfId="897" builtinId="9" hidden="1"/>
    <cellStyle name="Followed Hyperlink" xfId="898" builtinId="9" hidden="1"/>
    <cellStyle name="Followed Hyperlink" xfId="899" builtinId="9" hidden="1"/>
    <cellStyle name="Followed Hyperlink" xfId="900" builtinId="9" hidden="1"/>
    <cellStyle name="Followed Hyperlink" xfId="901" builtinId="9" hidden="1"/>
    <cellStyle name="Followed Hyperlink" xfId="902" builtinId="9" hidden="1"/>
    <cellStyle name="Followed Hyperlink" xfId="903" builtinId="9" hidden="1"/>
    <cellStyle name="Followed Hyperlink" xfId="904" builtinId="9" hidden="1"/>
    <cellStyle name="Followed Hyperlink" xfId="905" builtinId="9" hidden="1"/>
    <cellStyle name="Followed Hyperlink" xfId="906" builtinId="9" hidden="1"/>
    <cellStyle name="Followed Hyperlink" xfId="907" builtinId="9" hidden="1"/>
    <cellStyle name="Followed Hyperlink" xfId="908" builtinId="9" hidden="1"/>
    <cellStyle name="Followed Hyperlink" xfId="909" builtinId="9" hidden="1"/>
    <cellStyle name="Followed Hyperlink" xfId="910" builtinId="9" hidden="1"/>
    <cellStyle name="Followed Hyperlink" xfId="911" builtinId="9" hidden="1"/>
    <cellStyle name="Followed Hyperlink" xfId="912" builtinId="9" hidden="1"/>
    <cellStyle name="Followed Hyperlink" xfId="913" builtinId="9" hidden="1"/>
    <cellStyle name="Followed Hyperlink" xfId="914" builtinId="9" hidden="1"/>
    <cellStyle name="Followed Hyperlink" xfId="915" builtinId="9" hidden="1"/>
    <cellStyle name="Followed Hyperlink" xfId="916" builtinId="9" hidden="1"/>
    <cellStyle name="Followed Hyperlink" xfId="917" builtinId="9" hidden="1"/>
    <cellStyle name="Followed Hyperlink" xfId="918" builtinId="9" hidden="1"/>
    <cellStyle name="Followed Hyperlink" xfId="919" builtinId="9" hidden="1"/>
    <cellStyle name="Followed Hyperlink" xfId="920" builtinId="9" hidden="1"/>
    <cellStyle name="Followed Hyperlink" xfId="921" builtinId="9" hidden="1"/>
    <cellStyle name="Followed Hyperlink" xfId="922" builtinId="9" hidden="1"/>
    <cellStyle name="Followed Hyperlink" xfId="923" builtinId="9" hidden="1"/>
    <cellStyle name="Followed Hyperlink" xfId="924" builtinId="9" hidden="1"/>
    <cellStyle name="Followed Hyperlink" xfId="925" builtinId="9" hidden="1"/>
    <cellStyle name="Followed Hyperlink" xfId="926" builtinId="9" hidden="1"/>
    <cellStyle name="Followed Hyperlink" xfId="927" builtinId="9" hidden="1"/>
    <cellStyle name="Followed Hyperlink" xfId="928" builtinId="9" hidden="1"/>
    <cellStyle name="Followed Hyperlink" xfId="929" builtinId="9" hidden="1"/>
    <cellStyle name="Followed Hyperlink" xfId="930" builtinId="9" hidden="1"/>
    <cellStyle name="Followed Hyperlink" xfId="931" builtinId="9" hidden="1"/>
    <cellStyle name="Followed Hyperlink" xfId="932" builtinId="9" hidden="1"/>
    <cellStyle name="Followed Hyperlink" xfId="933" builtinId="9" hidden="1"/>
    <cellStyle name="Followed Hyperlink" xfId="934" builtinId="9" hidden="1"/>
    <cellStyle name="Followed Hyperlink" xfId="935" builtinId="9" hidden="1"/>
    <cellStyle name="Followed Hyperlink" xfId="936" builtinId="9" hidden="1"/>
    <cellStyle name="Followed Hyperlink" xfId="937" builtinId="9" hidden="1"/>
    <cellStyle name="Followed Hyperlink" xfId="938" builtinId="9" hidden="1"/>
    <cellStyle name="Followed Hyperlink" xfId="939" builtinId="9" hidden="1"/>
    <cellStyle name="Followed Hyperlink" xfId="940" builtinId="9" hidden="1"/>
    <cellStyle name="Followed Hyperlink" xfId="941" builtinId="9" hidden="1"/>
    <cellStyle name="Followed Hyperlink" xfId="942" builtinId="9" hidden="1"/>
    <cellStyle name="Followed Hyperlink" xfId="943" builtinId="9" hidden="1"/>
    <cellStyle name="Followed Hyperlink" xfId="944" builtinId="9" hidden="1"/>
    <cellStyle name="Fond gris" xfId="4"/>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701" builtinId="8" hidden="1"/>
    <cellStyle name="Hyperlink" xfId="703" builtinId="8" hidden="1"/>
    <cellStyle name="Hyperlink" xfId="705" builtinId="8" hidden="1"/>
    <cellStyle name="Hyperlink" xfId="707" builtinId="8" hidden="1"/>
    <cellStyle name="Hyperlink" xfId="712" builtinId="8"/>
    <cellStyle name="Normal" xfId="0" builtinId="0"/>
    <cellStyle name="Note" xfId="6"/>
    <cellStyle name="Note 2" xfId="710"/>
    <cellStyle name="Percent" xfId="946" builtinId="5"/>
    <cellStyle name="Pourcentage 2" xfId="945"/>
    <cellStyle name="SOMMAIRE" xfId="370"/>
    <cellStyle name="tableaux_1" xfId="15"/>
    <cellStyle name="tableaux_1_corpo" xfId="2"/>
    <cellStyle name="tableaux_1_ms" xfId="366"/>
    <cellStyle name="tableaux_1_rc" xfId="367"/>
    <cellStyle name="tableaux_1_upstream" xfId="369"/>
    <cellStyle name="Tableaux_2" xfId="5"/>
    <cellStyle name="Tableaux_2 (bold)" xfId="3"/>
    <cellStyle name="Tableaux_2 (fond)" xfId="8"/>
    <cellStyle name="Tableaux_3" xfId="949"/>
    <cellStyle name="Tableaux_3 2" xfId="709"/>
    <cellStyle name="Tableaux_4_corpo" xfId="9"/>
    <cellStyle name="Tableaux_4_corpo 2" xfId="950"/>
    <cellStyle name="Tableaux_4_ms" xfId="951"/>
    <cellStyle name="Tableaux_4_upstream" xfId="948"/>
    <cellStyle name="Texte courant" xfId="7"/>
    <cellStyle name="Texte courant 2" xfId="711"/>
    <cellStyle name="Titre rouge gras" xfId="16"/>
    <cellStyle name="trait marron bas simple" xfId="17"/>
  </cellStyles>
  <dxfs count="0"/>
  <tableStyles count="0" defaultTableStyle="TableStyleMedium9" defaultPivotStyle="PivotStyleLight16"/>
  <colors>
    <mruColors>
      <color rgb="FFCF3087"/>
      <color rgb="FF00A37F"/>
      <color rgb="FF00529E"/>
      <color rgb="FF0076BD"/>
      <color rgb="FF733E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9"/></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20"/></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21"/></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22"/></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23"/></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24"/></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25"/></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26"/></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30"/></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27"/></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1"/></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28"/></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29"/></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30"/></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31"/></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32"/></Relationships>
</file>

<file path=xl/drawings/_rels/drawing2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33"/></Relationships>
</file>

<file path=xl/drawings/_rels/drawing2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34"/></Relationships>
</file>

<file path=xl/drawings/_rels/drawing2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35"/></Relationships>
</file>

<file path=xl/drawings/_rels/drawing2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36"/></Relationships>
</file>

<file path=xl/drawings/_rels/drawing2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36"/></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2"/></Relationships>
</file>

<file path=xl/drawings/_rels/drawing3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37"/></Relationships>
</file>

<file path=xl/drawings/_rels/drawing3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38"/></Relationships>
</file>

<file path=xl/drawings/_rels/drawing3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42"/></Relationships>
</file>

<file path=xl/drawings/_rels/drawing3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43"/></Relationships>
</file>

<file path=xl/drawings/_rels/drawing3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44"/></Relationships>
</file>

<file path=xl/drawings/_rels/drawing3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45"/></Relationships>
</file>

<file path=xl/drawings/_rels/drawing3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46"/></Relationships>
</file>

<file path=xl/drawings/_rels/drawing3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47"/></Relationships>
</file>

<file path=xl/drawings/_rels/drawing3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48"/></Relationships>
</file>

<file path=xl/drawings/_rels/drawing3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49"/></Relationships>
</file>

<file path=xl/drawings/_rels/drawing4.xml.rels><?xml version="1.0" encoding="UTF-8" standalone="yes"?>
<Relationships xmlns="http://schemas.openxmlformats.org/package/2006/relationships"><Relationship Id="rId3" Type="http://schemas.openxmlformats.org/officeDocument/2006/relationships/hyperlink" Target="#Summary!B13"/><Relationship Id="rId2" Type="http://schemas.openxmlformats.org/officeDocument/2006/relationships/image" Target="../media/image2.png"/><Relationship Id="rId1" Type="http://schemas.openxmlformats.org/officeDocument/2006/relationships/hyperlink" Target="#Summary!B14"/></Relationships>
</file>

<file path=xl/drawings/_rels/drawing4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50"/></Relationships>
</file>

<file path=xl/drawings/_rels/drawing4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51"/></Relationships>
</file>

<file path=xl/drawings/_rels/drawing4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52"/></Relationships>
</file>

<file path=xl/drawings/_rels/drawing4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53"/></Relationships>
</file>

<file path=xl/drawings/_rels/drawing4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54"/></Relationships>
</file>

<file path=xl/drawings/_rels/drawing4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55"/></Relationships>
</file>

<file path=xl/drawings/_rels/drawing4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56"/></Relationships>
</file>

<file path=xl/drawings/_rels/drawing4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57"/></Relationships>
</file>

<file path=xl/drawings/_rels/drawing4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58"/></Relationships>
</file>

<file path=xl/drawings/_rels/drawing4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59"/></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4"/></Relationships>
</file>

<file path=xl/drawings/_rels/drawing5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60"/></Relationships>
</file>

<file path=xl/drawings/_rels/drawing5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61"/></Relationships>
</file>

<file path=xl/drawings/_rels/drawing5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62"/></Relationships>
</file>

<file path=xl/drawings/_rels/drawing5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63"/></Relationships>
</file>

<file path=xl/drawings/_rels/drawing5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65"/></Relationships>
</file>

<file path=xl/drawings/_rels/drawing5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86"/></Relationships>
</file>

<file path=xl/drawings/_rels/drawing5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70"/></Relationships>
</file>

<file path=xl/drawings/_rels/drawing5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64"/></Relationships>
</file>

<file path=xl/drawings/_rels/drawing5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66"/></Relationships>
</file>

<file path=xl/drawings/_rels/drawing5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7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5"/></Relationships>
</file>

<file path=xl/drawings/_rels/drawing6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72"/></Relationships>
</file>

<file path=xl/drawings/_rels/drawing6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72"/></Relationships>
</file>

<file path=xl/drawings/_rels/drawing6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74"/></Relationships>
</file>

<file path=xl/drawings/_rels/drawing6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75"/></Relationships>
</file>

<file path=xl/drawings/_rels/drawing6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76"/></Relationships>
</file>

<file path=xl/drawings/_rels/drawing6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77"/></Relationships>
</file>

<file path=xl/drawings/_rels/drawing6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78"/></Relationships>
</file>

<file path=xl/drawings/_rels/drawing6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86"/></Relationships>
</file>

<file path=xl/drawings/_rels/drawing6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79"/></Relationships>
</file>

<file path=xl/drawings/_rels/drawing6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80"/></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6"/></Relationships>
</file>

<file path=xl/drawings/_rels/drawing7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81"/></Relationships>
</file>

<file path=xl/drawings/_rels/drawing7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85"/></Relationships>
</file>

<file path=xl/drawings/_rels/drawing7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86"/></Relationships>
</file>

<file path=xl/drawings/_rels/drawing7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87"/></Relationships>
</file>

<file path=xl/drawings/_rels/drawing7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88"/></Relationships>
</file>

<file path=xl/drawings/_rels/drawing7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89"/></Relationships>
</file>

<file path=xl/drawings/_rels/drawing7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89"/></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7"/></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ummary!B18"/></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400050</xdr:colOff>
      <xdr:row>4</xdr:row>
      <xdr:rowOff>9525</xdr:rowOff>
    </xdr:to>
    <xdr:pic>
      <xdr:nvPicPr>
        <xdr:cNvPr id="2" name="Image 1"/>
        <xdr:cNvPicPr>
          <a:picLocks noChangeAspect="1"/>
        </xdr:cNvPicPr>
      </xdr:nvPicPr>
      <xdr:blipFill>
        <a:blip xmlns:r="http://schemas.openxmlformats.org/officeDocument/2006/relationships" r:embed="rId1"/>
        <a:srcRect/>
        <a:stretch>
          <a:fillRect/>
        </a:stretch>
      </xdr:blipFill>
      <xdr:spPr bwMode="auto">
        <a:xfrm>
          <a:off x="423333" y="479778"/>
          <a:ext cx="400050" cy="489303"/>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0</xdr:colOff>
      <xdr:row>1</xdr:row>
      <xdr:rowOff>0</xdr:rowOff>
    </xdr:from>
    <xdr:ext cx="266700" cy="26670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66700"/>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1</xdr:row>
      <xdr:rowOff>0</xdr:rowOff>
    </xdr:from>
    <xdr:ext cx="266700" cy="26670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66700"/>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1</xdr:row>
      <xdr:rowOff>0</xdr:rowOff>
    </xdr:from>
    <xdr:ext cx="266700" cy="26670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66700"/>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1</xdr:row>
      <xdr:rowOff>0</xdr:rowOff>
    </xdr:from>
    <xdr:ext cx="266700" cy="26670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66700"/>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0</xdr:colOff>
      <xdr:row>1</xdr:row>
      <xdr:rowOff>0</xdr:rowOff>
    </xdr:from>
    <xdr:ext cx="266700" cy="26670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66700"/>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0</xdr:colOff>
      <xdr:row>1</xdr:row>
      <xdr:rowOff>0</xdr:rowOff>
    </xdr:from>
    <xdr:ext cx="266700" cy="26670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66700"/>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1</xdr:row>
      <xdr:rowOff>0</xdr:rowOff>
    </xdr:from>
    <xdr:ext cx="266700" cy="26670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66700"/>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0</xdr:colOff>
      <xdr:row>1</xdr:row>
      <xdr:rowOff>0</xdr:rowOff>
    </xdr:from>
    <xdr:ext cx="266700" cy="26670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66700"/>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0</xdr:colOff>
      <xdr:row>1</xdr:row>
      <xdr:rowOff>0</xdr:rowOff>
    </xdr:from>
    <xdr:ext cx="266700" cy="26670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66700"/>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0</xdr:colOff>
      <xdr:row>1</xdr:row>
      <xdr:rowOff>0</xdr:rowOff>
    </xdr:from>
    <xdr:ext cx="266700" cy="26670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667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0</xdr:rowOff>
    </xdr:from>
    <xdr:ext cx="266700" cy="212725"/>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a:srcRect/>
        <a:stretch>
          <a:fillRect/>
        </a:stretch>
      </xdr:blipFill>
      <xdr:spPr bwMode="auto">
        <a:xfrm>
          <a:off x="0" y="203200"/>
          <a:ext cx="266700" cy="212725"/>
        </a:xfrm>
        <a:prstGeom prst="rect">
          <a:avLst/>
        </a:prstGeom>
        <a:noFill/>
        <a:ln w="9525">
          <a:noFill/>
          <a:miter lim="800000"/>
          <a:headEnd/>
          <a:tailEnd/>
        </a:ln>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0</xdr:colOff>
      <xdr:row>1</xdr:row>
      <xdr:rowOff>0</xdr:rowOff>
    </xdr:from>
    <xdr:ext cx="266700" cy="26670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66700"/>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0</xdr:colOff>
      <xdr:row>1</xdr:row>
      <xdr:rowOff>0</xdr:rowOff>
    </xdr:from>
    <xdr:ext cx="266700" cy="26670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66700"/>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0</xdr:colOff>
      <xdr:row>1</xdr:row>
      <xdr:rowOff>0</xdr:rowOff>
    </xdr:from>
    <xdr:ext cx="266700" cy="26670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66700"/>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0</xdr:colOff>
      <xdr:row>1</xdr:row>
      <xdr:rowOff>0</xdr:rowOff>
    </xdr:from>
    <xdr:ext cx="266700" cy="26670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66700"/>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0</xdr:colOff>
      <xdr:row>1</xdr:row>
      <xdr:rowOff>0</xdr:rowOff>
    </xdr:from>
    <xdr:ext cx="266700" cy="26670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66700"/>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0</xdr:colOff>
      <xdr:row>1</xdr:row>
      <xdr:rowOff>0</xdr:rowOff>
    </xdr:from>
    <xdr:ext cx="266700" cy="26670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66700"/>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0</xdr:colOff>
      <xdr:row>1</xdr:row>
      <xdr:rowOff>0</xdr:rowOff>
    </xdr:from>
    <xdr:ext cx="266700" cy="26670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66700"/>
        </a:xfrm>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0</xdr:colOff>
      <xdr:row>1</xdr:row>
      <xdr:rowOff>0</xdr:rowOff>
    </xdr:from>
    <xdr:ext cx="266700" cy="26670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66700"/>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0</xdr:colOff>
      <xdr:row>1</xdr:row>
      <xdr:rowOff>0</xdr:rowOff>
    </xdr:from>
    <xdr:ext cx="266700" cy="26670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66700"/>
        </a:xfrm>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0</xdr:colOff>
      <xdr:row>1</xdr:row>
      <xdr:rowOff>0</xdr:rowOff>
    </xdr:from>
    <xdr:ext cx="266700" cy="26670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667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xdr:row>
      <xdr:rowOff>0</xdr:rowOff>
    </xdr:from>
    <xdr:ext cx="266700" cy="26670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66700"/>
        </a:xfrm>
        <a:prstGeom prst="rect">
          <a:avLst/>
        </a:prstGeom>
      </xdr:spPr>
    </xdr:pic>
    <xdr:clientData/>
  </xdr:oneCellAnchor>
</xdr:wsDr>
</file>

<file path=xl/drawings/drawing30.xml><?xml version="1.0" encoding="utf-8"?>
<xdr:wsDr xmlns:xdr="http://schemas.openxmlformats.org/drawingml/2006/spreadsheetDrawing" xmlns:a="http://schemas.openxmlformats.org/drawingml/2006/main">
  <xdr:oneCellAnchor>
    <xdr:from>
      <xdr:col>0</xdr:col>
      <xdr:colOff>0</xdr:colOff>
      <xdr:row>1</xdr:row>
      <xdr:rowOff>0</xdr:rowOff>
    </xdr:from>
    <xdr:ext cx="273437" cy="26670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73437" cy="266700"/>
        </a:xfrm>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0</xdr:colOff>
      <xdr:row>1</xdr:row>
      <xdr:rowOff>0</xdr:rowOff>
    </xdr:from>
    <xdr:ext cx="266700" cy="26670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66700"/>
        </a:xfrm>
        <a:prstGeom prst="rect">
          <a:avLst/>
        </a:prstGeom>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0</xdr:colOff>
      <xdr:row>1</xdr:row>
      <xdr:rowOff>0</xdr:rowOff>
    </xdr:from>
    <xdr:ext cx="266700" cy="26670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66700"/>
        </a:xfrm>
        <a:prstGeom prst="rect">
          <a:avLst/>
        </a:prstGeom>
      </xdr:spPr>
    </xdr:pic>
    <xdr:clientData/>
  </xdr:oneCellAnchor>
</xdr:wsDr>
</file>

<file path=xl/drawings/drawing33.xml><?xml version="1.0" encoding="utf-8"?>
<xdr:wsDr xmlns:xdr="http://schemas.openxmlformats.org/drawingml/2006/spreadsheetDrawing" xmlns:a="http://schemas.openxmlformats.org/drawingml/2006/main">
  <xdr:oneCellAnchor>
    <xdr:from>
      <xdr:col>0</xdr:col>
      <xdr:colOff>0</xdr:colOff>
      <xdr:row>1</xdr:row>
      <xdr:rowOff>0</xdr:rowOff>
    </xdr:from>
    <xdr:ext cx="266700" cy="26035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60350"/>
        </a:xfrm>
        <a:prstGeom prst="rect">
          <a:avLst/>
        </a:prstGeom>
      </xdr:spPr>
    </xdr:pic>
    <xdr:clientData/>
  </xdr:oneCellAnchor>
</xdr:wsDr>
</file>

<file path=xl/drawings/drawing34.xml><?xml version="1.0" encoding="utf-8"?>
<xdr:wsDr xmlns:xdr="http://schemas.openxmlformats.org/drawingml/2006/spreadsheetDrawing" xmlns:a="http://schemas.openxmlformats.org/drawingml/2006/main">
  <xdr:oneCellAnchor>
    <xdr:from>
      <xdr:col>0</xdr:col>
      <xdr:colOff>0</xdr:colOff>
      <xdr:row>1</xdr:row>
      <xdr:rowOff>0</xdr:rowOff>
    </xdr:from>
    <xdr:ext cx="266700" cy="26035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60350"/>
        </a:xfrm>
        <a:prstGeom prst="rect">
          <a:avLst/>
        </a:prstGeom>
      </xdr:spPr>
    </xdr:pic>
    <xdr:clientData/>
  </xdr:oneCellAnchor>
</xdr:wsDr>
</file>

<file path=xl/drawings/drawing35.xml><?xml version="1.0" encoding="utf-8"?>
<xdr:wsDr xmlns:xdr="http://schemas.openxmlformats.org/drawingml/2006/spreadsheetDrawing" xmlns:a="http://schemas.openxmlformats.org/drawingml/2006/main">
  <xdr:oneCellAnchor>
    <xdr:from>
      <xdr:col>0</xdr:col>
      <xdr:colOff>0</xdr:colOff>
      <xdr:row>1</xdr:row>
      <xdr:rowOff>0</xdr:rowOff>
    </xdr:from>
    <xdr:ext cx="266700" cy="258762"/>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58762"/>
        </a:xfrm>
        <a:prstGeom prst="rect">
          <a:avLst/>
        </a:prstGeom>
      </xdr:spPr>
    </xdr:pic>
    <xdr:clientData/>
  </xdr:oneCellAnchor>
</xdr:wsDr>
</file>

<file path=xl/drawings/drawing36.xml><?xml version="1.0" encoding="utf-8"?>
<xdr:wsDr xmlns:xdr="http://schemas.openxmlformats.org/drawingml/2006/spreadsheetDrawing" xmlns:a="http://schemas.openxmlformats.org/drawingml/2006/main">
  <xdr:oneCellAnchor>
    <xdr:from>
      <xdr:col>0</xdr:col>
      <xdr:colOff>0</xdr:colOff>
      <xdr:row>1</xdr:row>
      <xdr:rowOff>0</xdr:rowOff>
    </xdr:from>
    <xdr:ext cx="266700" cy="258762"/>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58762"/>
        </a:xfrm>
        <a:prstGeom prst="rect">
          <a:avLst/>
        </a:prstGeom>
      </xdr:spPr>
    </xdr:pic>
    <xdr:clientData/>
  </xdr:oneCellAnchor>
</xdr:wsDr>
</file>

<file path=xl/drawings/drawing37.xml><?xml version="1.0" encoding="utf-8"?>
<xdr:wsDr xmlns:xdr="http://schemas.openxmlformats.org/drawingml/2006/spreadsheetDrawing" xmlns:a="http://schemas.openxmlformats.org/drawingml/2006/main">
  <xdr:oneCellAnchor>
    <xdr:from>
      <xdr:col>0</xdr:col>
      <xdr:colOff>0</xdr:colOff>
      <xdr:row>1</xdr:row>
      <xdr:rowOff>0</xdr:rowOff>
    </xdr:from>
    <xdr:ext cx="266700" cy="26416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64160"/>
        </a:xfrm>
        <a:prstGeom prst="rect">
          <a:avLst/>
        </a:prstGeom>
      </xdr:spPr>
    </xdr:pic>
    <xdr:clientData/>
  </xdr:oneCellAnchor>
</xdr:wsDr>
</file>

<file path=xl/drawings/drawing38.xml><?xml version="1.0" encoding="utf-8"?>
<xdr:wsDr xmlns:xdr="http://schemas.openxmlformats.org/drawingml/2006/spreadsheetDrawing" xmlns:a="http://schemas.openxmlformats.org/drawingml/2006/main">
  <xdr:oneCellAnchor>
    <xdr:from>
      <xdr:col>0</xdr:col>
      <xdr:colOff>0</xdr:colOff>
      <xdr:row>1</xdr:row>
      <xdr:rowOff>0</xdr:rowOff>
    </xdr:from>
    <xdr:ext cx="266700" cy="258762"/>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58762"/>
        </a:xfrm>
        <a:prstGeom prst="rect">
          <a:avLst/>
        </a:prstGeom>
      </xdr:spPr>
    </xdr:pic>
    <xdr:clientData/>
  </xdr:oneCellAnchor>
</xdr:wsDr>
</file>

<file path=xl/drawings/drawing39.xml><?xml version="1.0" encoding="utf-8"?>
<xdr:wsDr xmlns:xdr="http://schemas.openxmlformats.org/drawingml/2006/spreadsheetDrawing" xmlns:a="http://schemas.openxmlformats.org/drawingml/2006/main">
  <xdr:oneCellAnchor>
    <xdr:from>
      <xdr:col>0</xdr:col>
      <xdr:colOff>0</xdr:colOff>
      <xdr:row>1</xdr:row>
      <xdr:rowOff>0</xdr:rowOff>
    </xdr:from>
    <xdr:ext cx="266700" cy="258762"/>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58762"/>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1</xdr:row>
      <xdr:rowOff>0</xdr:rowOff>
    </xdr:from>
    <xdr:ext cx="266700" cy="26670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66700"/>
        </a:xfrm>
        <a:prstGeom prst="rect">
          <a:avLst/>
        </a:prstGeom>
      </xdr:spPr>
    </xdr:pic>
    <xdr:clientData/>
  </xdr:oneCellAnchor>
  <xdr:oneCellAnchor>
    <xdr:from>
      <xdr:col>0</xdr:col>
      <xdr:colOff>0</xdr:colOff>
      <xdr:row>1</xdr:row>
      <xdr:rowOff>0</xdr:rowOff>
    </xdr:from>
    <xdr:ext cx="266700" cy="266700"/>
    <xdr:pic>
      <xdr:nvPicPr>
        <xdr:cNvPr id="3" name="Image 2" descr="total-back.png">
          <a:hlinkClick xmlns:r="http://schemas.openxmlformats.org/officeDocument/2006/relationships" r:id="rId3"/>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66700"/>
        </a:xfrm>
        <a:prstGeom prst="rect">
          <a:avLst/>
        </a:prstGeom>
      </xdr:spPr>
    </xdr:pic>
    <xdr:clientData/>
  </xdr:oneCellAnchor>
</xdr:wsDr>
</file>

<file path=xl/drawings/drawing40.xml><?xml version="1.0" encoding="utf-8"?>
<xdr:wsDr xmlns:xdr="http://schemas.openxmlformats.org/drawingml/2006/spreadsheetDrawing" xmlns:a="http://schemas.openxmlformats.org/drawingml/2006/main">
  <xdr:oneCellAnchor>
    <xdr:from>
      <xdr:col>0</xdr:col>
      <xdr:colOff>0</xdr:colOff>
      <xdr:row>1</xdr:row>
      <xdr:rowOff>0</xdr:rowOff>
    </xdr:from>
    <xdr:ext cx="266700" cy="26416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64160"/>
        </a:xfrm>
        <a:prstGeom prst="rect">
          <a:avLst/>
        </a:prstGeom>
      </xdr:spPr>
    </xdr:pic>
    <xdr:clientData/>
  </xdr:oneCellAnchor>
</xdr:wsDr>
</file>

<file path=xl/drawings/drawing41.xml><?xml version="1.0" encoding="utf-8"?>
<xdr:wsDr xmlns:xdr="http://schemas.openxmlformats.org/drawingml/2006/spreadsheetDrawing" xmlns:a="http://schemas.openxmlformats.org/drawingml/2006/main">
  <xdr:oneCellAnchor>
    <xdr:from>
      <xdr:col>0</xdr:col>
      <xdr:colOff>0</xdr:colOff>
      <xdr:row>1</xdr:row>
      <xdr:rowOff>0</xdr:rowOff>
    </xdr:from>
    <xdr:ext cx="266700" cy="26035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60350"/>
        </a:xfrm>
        <a:prstGeom prst="rect">
          <a:avLst/>
        </a:prstGeom>
      </xdr:spPr>
    </xdr:pic>
    <xdr:clientData/>
  </xdr:oneCellAnchor>
  <xdr:oneCellAnchor>
    <xdr:from>
      <xdr:col>0</xdr:col>
      <xdr:colOff>0</xdr:colOff>
      <xdr:row>1</xdr:row>
      <xdr:rowOff>0</xdr:rowOff>
    </xdr:from>
    <xdr:ext cx="266700" cy="260350"/>
    <xdr:pic>
      <xdr:nvPicPr>
        <xdr:cNvPr id="3" name="Image 2"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60350"/>
        </a:xfrm>
        <a:prstGeom prst="rect">
          <a:avLst/>
        </a:prstGeom>
      </xdr:spPr>
    </xdr:pic>
    <xdr:clientData/>
  </xdr:oneCellAnchor>
</xdr:wsDr>
</file>

<file path=xl/drawings/drawing42.xml><?xml version="1.0" encoding="utf-8"?>
<xdr:wsDr xmlns:xdr="http://schemas.openxmlformats.org/drawingml/2006/spreadsheetDrawing" xmlns:a="http://schemas.openxmlformats.org/drawingml/2006/main">
  <xdr:oneCellAnchor>
    <xdr:from>
      <xdr:col>0</xdr:col>
      <xdr:colOff>0</xdr:colOff>
      <xdr:row>1</xdr:row>
      <xdr:rowOff>0</xdr:rowOff>
    </xdr:from>
    <xdr:ext cx="266700" cy="258762"/>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58762"/>
        </a:xfrm>
        <a:prstGeom prst="rect">
          <a:avLst/>
        </a:prstGeom>
      </xdr:spPr>
    </xdr:pic>
    <xdr:clientData/>
  </xdr:oneCellAnchor>
  <xdr:oneCellAnchor>
    <xdr:from>
      <xdr:col>0</xdr:col>
      <xdr:colOff>0</xdr:colOff>
      <xdr:row>1</xdr:row>
      <xdr:rowOff>0</xdr:rowOff>
    </xdr:from>
    <xdr:ext cx="266700" cy="258762"/>
    <xdr:pic>
      <xdr:nvPicPr>
        <xdr:cNvPr id="3" name="Image 2"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58762"/>
        </a:xfrm>
        <a:prstGeom prst="rect">
          <a:avLst/>
        </a:prstGeom>
      </xdr:spPr>
    </xdr:pic>
    <xdr:clientData/>
  </xdr:oneCellAnchor>
</xdr:wsDr>
</file>

<file path=xl/drawings/drawing43.xml><?xml version="1.0" encoding="utf-8"?>
<xdr:wsDr xmlns:xdr="http://schemas.openxmlformats.org/drawingml/2006/spreadsheetDrawing" xmlns:a="http://schemas.openxmlformats.org/drawingml/2006/main">
  <xdr:oneCellAnchor>
    <xdr:from>
      <xdr:col>0</xdr:col>
      <xdr:colOff>0</xdr:colOff>
      <xdr:row>1</xdr:row>
      <xdr:rowOff>0</xdr:rowOff>
    </xdr:from>
    <xdr:ext cx="266700" cy="26416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64160"/>
        </a:xfrm>
        <a:prstGeom prst="rect">
          <a:avLst/>
        </a:prstGeom>
      </xdr:spPr>
    </xdr:pic>
    <xdr:clientData/>
  </xdr:oneCellAnchor>
  <xdr:oneCellAnchor>
    <xdr:from>
      <xdr:col>0</xdr:col>
      <xdr:colOff>0</xdr:colOff>
      <xdr:row>1</xdr:row>
      <xdr:rowOff>0</xdr:rowOff>
    </xdr:from>
    <xdr:ext cx="266700" cy="264160"/>
    <xdr:pic>
      <xdr:nvPicPr>
        <xdr:cNvPr id="3" name="Image 2"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64160"/>
        </a:xfrm>
        <a:prstGeom prst="rect">
          <a:avLst/>
        </a:prstGeom>
      </xdr:spPr>
    </xdr:pic>
    <xdr:clientData/>
  </xdr:oneCellAnchor>
</xdr:wsDr>
</file>

<file path=xl/drawings/drawing44.xml><?xml version="1.0" encoding="utf-8"?>
<xdr:wsDr xmlns:xdr="http://schemas.openxmlformats.org/drawingml/2006/spreadsheetDrawing" xmlns:a="http://schemas.openxmlformats.org/drawingml/2006/main">
  <xdr:oneCellAnchor>
    <xdr:from>
      <xdr:col>0</xdr:col>
      <xdr:colOff>0</xdr:colOff>
      <xdr:row>1</xdr:row>
      <xdr:rowOff>0</xdr:rowOff>
    </xdr:from>
    <xdr:ext cx="266700" cy="258762"/>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58762"/>
        </a:xfrm>
        <a:prstGeom prst="rect">
          <a:avLst/>
        </a:prstGeom>
      </xdr:spPr>
    </xdr:pic>
    <xdr:clientData/>
  </xdr:oneCellAnchor>
  <xdr:oneCellAnchor>
    <xdr:from>
      <xdr:col>0</xdr:col>
      <xdr:colOff>0</xdr:colOff>
      <xdr:row>1</xdr:row>
      <xdr:rowOff>0</xdr:rowOff>
    </xdr:from>
    <xdr:ext cx="266700" cy="258762"/>
    <xdr:pic>
      <xdr:nvPicPr>
        <xdr:cNvPr id="3" name="Image 2"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58762"/>
        </a:xfrm>
        <a:prstGeom prst="rect">
          <a:avLst/>
        </a:prstGeom>
      </xdr:spPr>
    </xdr:pic>
    <xdr:clientData/>
  </xdr:oneCellAnchor>
</xdr:wsDr>
</file>

<file path=xl/drawings/drawing45.xml><?xml version="1.0" encoding="utf-8"?>
<xdr:wsDr xmlns:xdr="http://schemas.openxmlformats.org/drawingml/2006/spreadsheetDrawing" xmlns:a="http://schemas.openxmlformats.org/drawingml/2006/main">
  <xdr:oneCellAnchor>
    <xdr:from>
      <xdr:col>0</xdr:col>
      <xdr:colOff>0</xdr:colOff>
      <xdr:row>1</xdr:row>
      <xdr:rowOff>0</xdr:rowOff>
    </xdr:from>
    <xdr:ext cx="266700" cy="258762"/>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58762"/>
        </a:xfrm>
        <a:prstGeom prst="rect">
          <a:avLst/>
        </a:prstGeom>
      </xdr:spPr>
    </xdr:pic>
    <xdr:clientData/>
  </xdr:oneCellAnchor>
  <xdr:oneCellAnchor>
    <xdr:from>
      <xdr:col>0</xdr:col>
      <xdr:colOff>0</xdr:colOff>
      <xdr:row>1</xdr:row>
      <xdr:rowOff>0</xdr:rowOff>
    </xdr:from>
    <xdr:ext cx="266700" cy="258762"/>
    <xdr:pic>
      <xdr:nvPicPr>
        <xdr:cNvPr id="3" name="Image 2"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58762"/>
        </a:xfrm>
        <a:prstGeom prst="rect">
          <a:avLst/>
        </a:prstGeom>
      </xdr:spPr>
    </xdr:pic>
    <xdr:clientData/>
  </xdr:oneCellAnchor>
</xdr:wsDr>
</file>

<file path=xl/drawings/drawing46.xml><?xml version="1.0" encoding="utf-8"?>
<xdr:wsDr xmlns:xdr="http://schemas.openxmlformats.org/drawingml/2006/spreadsheetDrawing" xmlns:a="http://schemas.openxmlformats.org/drawingml/2006/main">
  <xdr:oneCellAnchor>
    <xdr:from>
      <xdr:col>0</xdr:col>
      <xdr:colOff>0</xdr:colOff>
      <xdr:row>1</xdr:row>
      <xdr:rowOff>0</xdr:rowOff>
    </xdr:from>
    <xdr:ext cx="266700" cy="258762"/>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58762"/>
        </a:xfrm>
        <a:prstGeom prst="rect">
          <a:avLst/>
        </a:prstGeom>
      </xdr:spPr>
    </xdr:pic>
    <xdr:clientData/>
  </xdr:oneCellAnchor>
  <xdr:oneCellAnchor>
    <xdr:from>
      <xdr:col>0</xdr:col>
      <xdr:colOff>0</xdr:colOff>
      <xdr:row>1</xdr:row>
      <xdr:rowOff>0</xdr:rowOff>
    </xdr:from>
    <xdr:ext cx="266700" cy="258762"/>
    <xdr:pic>
      <xdr:nvPicPr>
        <xdr:cNvPr id="3" name="Image 2"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58762"/>
        </a:xfrm>
        <a:prstGeom prst="rect">
          <a:avLst/>
        </a:prstGeom>
      </xdr:spPr>
    </xdr:pic>
    <xdr:clientData/>
  </xdr:oneCellAnchor>
  <xdr:oneCellAnchor>
    <xdr:from>
      <xdr:col>0</xdr:col>
      <xdr:colOff>0</xdr:colOff>
      <xdr:row>1</xdr:row>
      <xdr:rowOff>0</xdr:rowOff>
    </xdr:from>
    <xdr:ext cx="266700" cy="258762"/>
    <xdr:pic>
      <xdr:nvPicPr>
        <xdr:cNvPr id="4" name="Image 3"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58762"/>
        </a:xfrm>
        <a:prstGeom prst="rect">
          <a:avLst/>
        </a:prstGeom>
      </xdr:spPr>
    </xdr:pic>
    <xdr:clientData/>
  </xdr:oneCellAnchor>
</xdr:wsDr>
</file>

<file path=xl/drawings/drawing47.xml><?xml version="1.0" encoding="utf-8"?>
<xdr:wsDr xmlns:xdr="http://schemas.openxmlformats.org/drawingml/2006/spreadsheetDrawing" xmlns:a="http://schemas.openxmlformats.org/drawingml/2006/main">
  <xdr:oneCellAnchor>
    <xdr:from>
      <xdr:col>0</xdr:col>
      <xdr:colOff>0</xdr:colOff>
      <xdr:row>1</xdr:row>
      <xdr:rowOff>0</xdr:rowOff>
    </xdr:from>
    <xdr:ext cx="266700" cy="258762"/>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58762"/>
        </a:xfrm>
        <a:prstGeom prst="rect">
          <a:avLst/>
        </a:prstGeom>
      </xdr:spPr>
    </xdr:pic>
    <xdr:clientData/>
  </xdr:oneCellAnchor>
  <xdr:oneCellAnchor>
    <xdr:from>
      <xdr:col>0</xdr:col>
      <xdr:colOff>0</xdr:colOff>
      <xdr:row>1</xdr:row>
      <xdr:rowOff>0</xdr:rowOff>
    </xdr:from>
    <xdr:ext cx="266700" cy="258762"/>
    <xdr:pic>
      <xdr:nvPicPr>
        <xdr:cNvPr id="3" name="Image 2"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58762"/>
        </a:xfrm>
        <a:prstGeom prst="rect">
          <a:avLst/>
        </a:prstGeom>
      </xdr:spPr>
    </xdr:pic>
    <xdr:clientData/>
  </xdr:oneCellAnchor>
</xdr:wsDr>
</file>

<file path=xl/drawings/drawing48.xml><?xml version="1.0" encoding="utf-8"?>
<xdr:wsDr xmlns:xdr="http://schemas.openxmlformats.org/drawingml/2006/spreadsheetDrawing" xmlns:a="http://schemas.openxmlformats.org/drawingml/2006/main">
  <xdr:oneCellAnchor>
    <xdr:from>
      <xdr:col>0</xdr:col>
      <xdr:colOff>0</xdr:colOff>
      <xdr:row>1</xdr:row>
      <xdr:rowOff>0</xdr:rowOff>
    </xdr:from>
    <xdr:ext cx="266700" cy="258762"/>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58762"/>
        </a:xfrm>
        <a:prstGeom prst="rect">
          <a:avLst/>
        </a:prstGeom>
      </xdr:spPr>
    </xdr:pic>
    <xdr:clientData/>
  </xdr:oneCellAnchor>
  <xdr:oneCellAnchor>
    <xdr:from>
      <xdr:col>0</xdr:col>
      <xdr:colOff>0</xdr:colOff>
      <xdr:row>1</xdr:row>
      <xdr:rowOff>0</xdr:rowOff>
    </xdr:from>
    <xdr:ext cx="266700" cy="258762"/>
    <xdr:pic>
      <xdr:nvPicPr>
        <xdr:cNvPr id="3" name="Image 2"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58762"/>
        </a:xfrm>
        <a:prstGeom prst="rect">
          <a:avLst/>
        </a:prstGeom>
      </xdr:spPr>
    </xdr:pic>
    <xdr:clientData/>
  </xdr:oneCellAnchor>
</xdr:wsDr>
</file>

<file path=xl/drawings/drawing49.xml><?xml version="1.0" encoding="utf-8"?>
<xdr:wsDr xmlns:xdr="http://schemas.openxmlformats.org/drawingml/2006/spreadsheetDrawing" xmlns:a="http://schemas.openxmlformats.org/drawingml/2006/main">
  <xdr:oneCellAnchor>
    <xdr:from>
      <xdr:col>0</xdr:col>
      <xdr:colOff>0</xdr:colOff>
      <xdr:row>1</xdr:row>
      <xdr:rowOff>0</xdr:rowOff>
    </xdr:from>
    <xdr:ext cx="266700" cy="26416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64160"/>
        </a:xfrm>
        <a:prstGeom prst="rect">
          <a:avLst/>
        </a:prstGeom>
      </xdr:spPr>
    </xdr:pic>
    <xdr:clientData/>
  </xdr:oneCellAnchor>
  <xdr:oneCellAnchor>
    <xdr:from>
      <xdr:col>0</xdr:col>
      <xdr:colOff>0</xdr:colOff>
      <xdr:row>1</xdr:row>
      <xdr:rowOff>0</xdr:rowOff>
    </xdr:from>
    <xdr:ext cx="266700" cy="264160"/>
    <xdr:pic>
      <xdr:nvPicPr>
        <xdr:cNvPr id="3" name="Image 2"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6416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1</xdr:row>
      <xdr:rowOff>0</xdr:rowOff>
    </xdr:from>
    <xdr:ext cx="266700" cy="26670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66700"/>
        </a:xfrm>
        <a:prstGeom prst="rect">
          <a:avLst/>
        </a:prstGeom>
      </xdr:spPr>
    </xdr:pic>
    <xdr:clientData/>
  </xdr:oneCellAnchor>
</xdr:wsDr>
</file>

<file path=xl/drawings/drawing50.xml><?xml version="1.0" encoding="utf-8"?>
<xdr:wsDr xmlns:xdr="http://schemas.openxmlformats.org/drawingml/2006/spreadsheetDrawing" xmlns:a="http://schemas.openxmlformats.org/drawingml/2006/main">
  <xdr:oneCellAnchor>
    <xdr:from>
      <xdr:col>0</xdr:col>
      <xdr:colOff>0</xdr:colOff>
      <xdr:row>1</xdr:row>
      <xdr:rowOff>0</xdr:rowOff>
    </xdr:from>
    <xdr:ext cx="266700" cy="258762"/>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58762"/>
        </a:xfrm>
        <a:prstGeom prst="rect">
          <a:avLst/>
        </a:prstGeom>
      </xdr:spPr>
    </xdr:pic>
    <xdr:clientData/>
  </xdr:oneCellAnchor>
</xdr:wsDr>
</file>

<file path=xl/drawings/drawing51.xml><?xml version="1.0" encoding="utf-8"?>
<xdr:wsDr xmlns:xdr="http://schemas.openxmlformats.org/drawingml/2006/spreadsheetDrawing" xmlns:a="http://schemas.openxmlformats.org/drawingml/2006/main">
  <xdr:oneCellAnchor>
    <xdr:from>
      <xdr:col>0</xdr:col>
      <xdr:colOff>0</xdr:colOff>
      <xdr:row>1</xdr:row>
      <xdr:rowOff>0</xdr:rowOff>
    </xdr:from>
    <xdr:ext cx="266700" cy="258762"/>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58762"/>
        </a:xfrm>
        <a:prstGeom prst="rect">
          <a:avLst/>
        </a:prstGeom>
      </xdr:spPr>
    </xdr:pic>
    <xdr:clientData/>
  </xdr:oneCellAnchor>
</xdr:wsDr>
</file>

<file path=xl/drawings/drawing52.xml><?xml version="1.0" encoding="utf-8"?>
<xdr:wsDr xmlns:xdr="http://schemas.openxmlformats.org/drawingml/2006/spreadsheetDrawing" xmlns:a="http://schemas.openxmlformats.org/drawingml/2006/main">
  <xdr:oneCellAnchor>
    <xdr:from>
      <xdr:col>0</xdr:col>
      <xdr:colOff>0</xdr:colOff>
      <xdr:row>1</xdr:row>
      <xdr:rowOff>0</xdr:rowOff>
    </xdr:from>
    <xdr:ext cx="266700" cy="258762"/>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58762"/>
        </a:xfrm>
        <a:prstGeom prst="rect">
          <a:avLst/>
        </a:prstGeom>
      </xdr:spPr>
    </xdr:pic>
    <xdr:clientData/>
  </xdr:oneCellAnchor>
</xdr:wsDr>
</file>

<file path=xl/drawings/drawing53.xml><?xml version="1.0" encoding="utf-8"?>
<xdr:wsDr xmlns:xdr="http://schemas.openxmlformats.org/drawingml/2006/spreadsheetDrawing" xmlns:a="http://schemas.openxmlformats.org/drawingml/2006/main">
  <xdr:oneCellAnchor>
    <xdr:from>
      <xdr:col>0</xdr:col>
      <xdr:colOff>0</xdr:colOff>
      <xdr:row>1</xdr:row>
      <xdr:rowOff>0</xdr:rowOff>
    </xdr:from>
    <xdr:ext cx="266700" cy="258762"/>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58762"/>
        </a:xfrm>
        <a:prstGeom prst="rect">
          <a:avLst/>
        </a:prstGeom>
      </xdr:spPr>
    </xdr:pic>
    <xdr:clientData/>
  </xdr:oneCellAnchor>
</xdr:wsDr>
</file>

<file path=xl/drawings/drawing54.xml><?xml version="1.0" encoding="utf-8"?>
<xdr:wsDr xmlns:xdr="http://schemas.openxmlformats.org/drawingml/2006/spreadsheetDrawing" xmlns:a="http://schemas.openxmlformats.org/drawingml/2006/main">
  <xdr:oneCellAnchor>
    <xdr:from>
      <xdr:col>0</xdr:col>
      <xdr:colOff>0</xdr:colOff>
      <xdr:row>1</xdr:row>
      <xdr:rowOff>0</xdr:rowOff>
    </xdr:from>
    <xdr:ext cx="266700" cy="258762"/>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58762"/>
        </a:xfrm>
        <a:prstGeom prst="rect">
          <a:avLst/>
        </a:prstGeom>
      </xdr:spPr>
    </xdr:pic>
    <xdr:clientData/>
  </xdr:oneCellAnchor>
</xdr:wsDr>
</file>

<file path=xl/drawings/drawing55.xml><?xml version="1.0" encoding="utf-8"?>
<xdr:wsDr xmlns:xdr="http://schemas.openxmlformats.org/drawingml/2006/spreadsheetDrawing" xmlns:a="http://schemas.openxmlformats.org/drawingml/2006/main">
  <xdr:oneCellAnchor>
    <xdr:from>
      <xdr:col>0</xdr:col>
      <xdr:colOff>0</xdr:colOff>
      <xdr:row>1</xdr:row>
      <xdr:rowOff>0</xdr:rowOff>
    </xdr:from>
    <xdr:ext cx="266700" cy="26035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60350"/>
        </a:xfrm>
        <a:prstGeom prst="rect">
          <a:avLst/>
        </a:prstGeom>
      </xdr:spPr>
    </xdr:pic>
    <xdr:clientData/>
  </xdr:oneCellAnchor>
</xdr:wsDr>
</file>

<file path=xl/drawings/drawing56.xml><?xml version="1.0" encoding="utf-8"?>
<xdr:wsDr xmlns:xdr="http://schemas.openxmlformats.org/drawingml/2006/spreadsheetDrawing" xmlns:a="http://schemas.openxmlformats.org/drawingml/2006/main">
  <xdr:oneCellAnchor>
    <xdr:from>
      <xdr:col>0</xdr:col>
      <xdr:colOff>0</xdr:colOff>
      <xdr:row>1</xdr:row>
      <xdr:rowOff>0</xdr:rowOff>
    </xdr:from>
    <xdr:ext cx="266700" cy="26035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60350"/>
        </a:xfrm>
        <a:prstGeom prst="rect">
          <a:avLst/>
        </a:prstGeom>
      </xdr:spPr>
    </xdr:pic>
    <xdr:clientData/>
  </xdr:oneCellAnchor>
</xdr:wsDr>
</file>

<file path=xl/drawings/drawing57.xml><?xml version="1.0" encoding="utf-8"?>
<xdr:wsDr xmlns:xdr="http://schemas.openxmlformats.org/drawingml/2006/spreadsheetDrawing" xmlns:a="http://schemas.openxmlformats.org/drawingml/2006/main">
  <xdr:oneCellAnchor>
    <xdr:from>
      <xdr:col>0</xdr:col>
      <xdr:colOff>0</xdr:colOff>
      <xdr:row>1</xdr:row>
      <xdr:rowOff>0</xdr:rowOff>
    </xdr:from>
    <xdr:ext cx="266700" cy="260985"/>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a:srcRect/>
        <a:stretch>
          <a:fillRect/>
        </a:stretch>
      </xdr:blipFill>
      <xdr:spPr bwMode="auto">
        <a:xfrm>
          <a:off x="0" y="203200"/>
          <a:ext cx="266700" cy="260985"/>
        </a:xfrm>
        <a:prstGeom prst="rect">
          <a:avLst/>
        </a:prstGeom>
        <a:noFill/>
        <a:ln w="9525">
          <a:noFill/>
          <a:miter lim="800000"/>
          <a:headEnd/>
          <a:tailEnd/>
        </a:ln>
      </xdr:spPr>
    </xdr:pic>
    <xdr:clientData/>
  </xdr:oneCellAnchor>
</xdr:wsDr>
</file>

<file path=xl/drawings/drawing58.xml><?xml version="1.0" encoding="utf-8"?>
<xdr:wsDr xmlns:xdr="http://schemas.openxmlformats.org/drawingml/2006/spreadsheetDrawing" xmlns:a="http://schemas.openxmlformats.org/drawingml/2006/main">
  <xdr:oneCellAnchor>
    <xdr:from>
      <xdr:col>0</xdr:col>
      <xdr:colOff>0</xdr:colOff>
      <xdr:row>1</xdr:row>
      <xdr:rowOff>0</xdr:rowOff>
    </xdr:from>
    <xdr:ext cx="266700" cy="258762"/>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58762"/>
        </a:xfrm>
        <a:prstGeom prst="rect">
          <a:avLst/>
        </a:prstGeom>
      </xdr:spPr>
    </xdr:pic>
    <xdr:clientData/>
  </xdr:oneCellAnchor>
</xdr:wsDr>
</file>

<file path=xl/drawings/drawing59.xml><?xml version="1.0" encoding="utf-8"?>
<xdr:wsDr xmlns:xdr="http://schemas.openxmlformats.org/drawingml/2006/spreadsheetDrawing" xmlns:a="http://schemas.openxmlformats.org/drawingml/2006/main">
  <xdr:oneCellAnchor>
    <xdr:from>
      <xdr:col>0</xdr:col>
      <xdr:colOff>0</xdr:colOff>
      <xdr:row>1</xdr:row>
      <xdr:rowOff>0</xdr:rowOff>
    </xdr:from>
    <xdr:ext cx="266700" cy="26035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6035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xdr:row>
      <xdr:rowOff>0</xdr:rowOff>
    </xdr:from>
    <xdr:ext cx="266700" cy="26670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66700"/>
        </a:xfrm>
        <a:prstGeom prst="rect">
          <a:avLst/>
        </a:prstGeom>
      </xdr:spPr>
    </xdr:pic>
    <xdr:clientData/>
  </xdr:oneCellAnchor>
</xdr:wsDr>
</file>

<file path=xl/drawings/drawing60.xml><?xml version="1.0" encoding="utf-8"?>
<xdr:wsDr xmlns:xdr="http://schemas.openxmlformats.org/drawingml/2006/spreadsheetDrawing" xmlns:a="http://schemas.openxmlformats.org/drawingml/2006/main">
  <xdr:oneCellAnchor>
    <xdr:from>
      <xdr:col>0</xdr:col>
      <xdr:colOff>0</xdr:colOff>
      <xdr:row>1</xdr:row>
      <xdr:rowOff>0</xdr:rowOff>
    </xdr:from>
    <xdr:ext cx="266700" cy="26035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60350"/>
        </a:xfrm>
        <a:prstGeom prst="rect">
          <a:avLst/>
        </a:prstGeom>
      </xdr:spPr>
    </xdr:pic>
    <xdr:clientData/>
  </xdr:oneCellAnchor>
</xdr:wsDr>
</file>

<file path=xl/drawings/drawing61.xml><?xml version="1.0" encoding="utf-8"?>
<xdr:wsDr xmlns:xdr="http://schemas.openxmlformats.org/drawingml/2006/spreadsheetDrawing" xmlns:a="http://schemas.openxmlformats.org/drawingml/2006/main">
  <xdr:oneCellAnchor>
    <xdr:from>
      <xdr:col>0</xdr:col>
      <xdr:colOff>0</xdr:colOff>
      <xdr:row>1</xdr:row>
      <xdr:rowOff>0</xdr:rowOff>
    </xdr:from>
    <xdr:ext cx="266700" cy="26416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64160"/>
        </a:xfrm>
        <a:prstGeom prst="rect">
          <a:avLst/>
        </a:prstGeom>
      </xdr:spPr>
    </xdr:pic>
    <xdr:clientData/>
  </xdr:oneCellAnchor>
</xdr:wsDr>
</file>

<file path=xl/drawings/drawing62.xml><?xml version="1.0" encoding="utf-8"?>
<xdr:wsDr xmlns:xdr="http://schemas.openxmlformats.org/drawingml/2006/spreadsheetDrawing" xmlns:a="http://schemas.openxmlformats.org/drawingml/2006/main">
  <xdr:oneCellAnchor>
    <xdr:from>
      <xdr:col>0</xdr:col>
      <xdr:colOff>0</xdr:colOff>
      <xdr:row>1</xdr:row>
      <xdr:rowOff>0</xdr:rowOff>
    </xdr:from>
    <xdr:ext cx="266700" cy="26035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60350"/>
        </a:xfrm>
        <a:prstGeom prst="rect">
          <a:avLst/>
        </a:prstGeom>
      </xdr:spPr>
    </xdr:pic>
    <xdr:clientData/>
  </xdr:oneCellAnchor>
</xdr:wsDr>
</file>

<file path=xl/drawings/drawing63.xml><?xml version="1.0" encoding="utf-8"?>
<xdr:wsDr xmlns:xdr="http://schemas.openxmlformats.org/drawingml/2006/spreadsheetDrawing" xmlns:a="http://schemas.openxmlformats.org/drawingml/2006/main">
  <xdr:oneCellAnchor>
    <xdr:from>
      <xdr:col>0</xdr:col>
      <xdr:colOff>0</xdr:colOff>
      <xdr:row>1</xdr:row>
      <xdr:rowOff>0</xdr:rowOff>
    </xdr:from>
    <xdr:ext cx="266700" cy="26035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60350"/>
        </a:xfrm>
        <a:prstGeom prst="rect">
          <a:avLst/>
        </a:prstGeom>
      </xdr:spPr>
    </xdr:pic>
    <xdr:clientData/>
  </xdr:oneCellAnchor>
</xdr:wsDr>
</file>

<file path=xl/drawings/drawing64.xml><?xml version="1.0" encoding="utf-8"?>
<xdr:wsDr xmlns:xdr="http://schemas.openxmlformats.org/drawingml/2006/spreadsheetDrawing" xmlns:a="http://schemas.openxmlformats.org/drawingml/2006/main">
  <xdr:oneCellAnchor>
    <xdr:from>
      <xdr:col>0</xdr:col>
      <xdr:colOff>0</xdr:colOff>
      <xdr:row>1</xdr:row>
      <xdr:rowOff>0</xdr:rowOff>
    </xdr:from>
    <xdr:ext cx="266700" cy="26035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60350"/>
        </a:xfrm>
        <a:prstGeom prst="rect">
          <a:avLst/>
        </a:prstGeom>
      </xdr:spPr>
    </xdr:pic>
    <xdr:clientData/>
  </xdr:oneCellAnchor>
</xdr:wsDr>
</file>

<file path=xl/drawings/drawing65.xml><?xml version="1.0" encoding="utf-8"?>
<xdr:wsDr xmlns:xdr="http://schemas.openxmlformats.org/drawingml/2006/spreadsheetDrawing" xmlns:a="http://schemas.openxmlformats.org/drawingml/2006/main">
  <xdr:oneCellAnchor>
    <xdr:from>
      <xdr:col>0</xdr:col>
      <xdr:colOff>0</xdr:colOff>
      <xdr:row>1</xdr:row>
      <xdr:rowOff>0</xdr:rowOff>
    </xdr:from>
    <xdr:ext cx="266700" cy="26035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60350"/>
        </a:xfrm>
        <a:prstGeom prst="rect">
          <a:avLst/>
        </a:prstGeom>
      </xdr:spPr>
    </xdr:pic>
    <xdr:clientData/>
  </xdr:oneCellAnchor>
</xdr:wsDr>
</file>

<file path=xl/drawings/drawing66.xml><?xml version="1.0" encoding="utf-8"?>
<xdr:wsDr xmlns:xdr="http://schemas.openxmlformats.org/drawingml/2006/spreadsheetDrawing" xmlns:a="http://schemas.openxmlformats.org/drawingml/2006/main">
  <xdr:oneCellAnchor>
    <xdr:from>
      <xdr:col>0</xdr:col>
      <xdr:colOff>0</xdr:colOff>
      <xdr:row>1</xdr:row>
      <xdr:rowOff>0</xdr:rowOff>
    </xdr:from>
    <xdr:ext cx="266700" cy="26035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60350"/>
        </a:xfrm>
        <a:prstGeom prst="rect">
          <a:avLst/>
        </a:prstGeom>
      </xdr:spPr>
    </xdr:pic>
    <xdr:clientData/>
  </xdr:oneCellAnchor>
</xdr:wsDr>
</file>

<file path=xl/drawings/drawing67.xml><?xml version="1.0" encoding="utf-8"?>
<xdr:wsDr xmlns:xdr="http://schemas.openxmlformats.org/drawingml/2006/spreadsheetDrawing" xmlns:a="http://schemas.openxmlformats.org/drawingml/2006/main">
  <xdr:oneCellAnchor>
    <xdr:from>
      <xdr:col>0</xdr:col>
      <xdr:colOff>0</xdr:colOff>
      <xdr:row>1</xdr:row>
      <xdr:rowOff>0</xdr:rowOff>
    </xdr:from>
    <xdr:ext cx="266700" cy="26035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60350"/>
        </a:xfrm>
        <a:prstGeom prst="rect">
          <a:avLst/>
        </a:prstGeom>
      </xdr:spPr>
    </xdr:pic>
    <xdr:clientData/>
  </xdr:oneCellAnchor>
</xdr:wsDr>
</file>

<file path=xl/drawings/drawing68.xml><?xml version="1.0" encoding="utf-8"?>
<xdr:wsDr xmlns:xdr="http://schemas.openxmlformats.org/drawingml/2006/spreadsheetDrawing" xmlns:a="http://schemas.openxmlformats.org/drawingml/2006/main">
  <xdr:oneCellAnchor>
    <xdr:from>
      <xdr:col>0</xdr:col>
      <xdr:colOff>0</xdr:colOff>
      <xdr:row>1</xdr:row>
      <xdr:rowOff>0</xdr:rowOff>
    </xdr:from>
    <xdr:ext cx="266700" cy="26035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60350"/>
        </a:xfrm>
        <a:prstGeom prst="rect">
          <a:avLst/>
        </a:prstGeom>
      </xdr:spPr>
    </xdr:pic>
    <xdr:clientData/>
  </xdr:oneCellAnchor>
</xdr:wsDr>
</file>

<file path=xl/drawings/drawing69.xml><?xml version="1.0" encoding="utf-8"?>
<xdr:wsDr xmlns:xdr="http://schemas.openxmlformats.org/drawingml/2006/spreadsheetDrawing" xmlns:a="http://schemas.openxmlformats.org/drawingml/2006/main">
  <xdr:oneCellAnchor>
    <xdr:from>
      <xdr:col>0</xdr:col>
      <xdr:colOff>0</xdr:colOff>
      <xdr:row>1</xdr:row>
      <xdr:rowOff>0</xdr:rowOff>
    </xdr:from>
    <xdr:ext cx="266700" cy="26035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6035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1</xdr:row>
      <xdr:rowOff>0</xdr:rowOff>
    </xdr:from>
    <xdr:ext cx="266700" cy="26670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66700"/>
        </a:xfrm>
        <a:prstGeom prst="rect">
          <a:avLst/>
        </a:prstGeom>
      </xdr:spPr>
    </xdr:pic>
    <xdr:clientData/>
  </xdr:oneCellAnchor>
</xdr:wsDr>
</file>

<file path=xl/drawings/drawing70.xml><?xml version="1.0" encoding="utf-8"?>
<xdr:wsDr xmlns:xdr="http://schemas.openxmlformats.org/drawingml/2006/spreadsheetDrawing" xmlns:a="http://schemas.openxmlformats.org/drawingml/2006/main">
  <xdr:oneCellAnchor>
    <xdr:from>
      <xdr:col>0</xdr:col>
      <xdr:colOff>0</xdr:colOff>
      <xdr:row>1</xdr:row>
      <xdr:rowOff>0</xdr:rowOff>
    </xdr:from>
    <xdr:ext cx="266700" cy="26035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60350"/>
        </a:xfrm>
        <a:prstGeom prst="rect">
          <a:avLst/>
        </a:prstGeom>
      </xdr:spPr>
    </xdr:pic>
    <xdr:clientData/>
  </xdr:oneCellAnchor>
</xdr:wsDr>
</file>

<file path=xl/drawings/drawing71.xml><?xml version="1.0" encoding="utf-8"?>
<xdr:wsDr xmlns:xdr="http://schemas.openxmlformats.org/drawingml/2006/spreadsheetDrawing" xmlns:a="http://schemas.openxmlformats.org/drawingml/2006/main">
  <xdr:oneCellAnchor>
    <xdr:from>
      <xdr:col>0</xdr:col>
      <xdr:colOff>0</xdr:colOff>
      <xdr:row>1</xdr:row>
      <xdr:rowOff>0</xdr:rowOff>
    </xdr:from>
    <xdr:ext cx="266700" cy="26035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60350"/>
        </a:xfrm>
        <a:prstGeom prst="rect">
          <a:avLst/>
        </a:prstGeom>
      </xdr:spPr>
    </xdr:pic>
    <xdr:clientData/>
  </xdr:oneCellAnchor>
</xdr:wsDr>
</file>

<file path=xl/drawings/drawing72.xml><?xml version="1.0" encoding="utf-8"?>
<xdr:wsDr xmlns:xdr="http://schemas.openxmlformats.org/drawingml/2006/spreadsheetDrawing" xmlns:a="http://schemas.openxmlformats.org/drawingml/2006/main">
  <xdr:oneCellAnchor>
    <xdr:from>
      <xdr:col>0</xdr:col>
      <xdr:colOff>0</xdr:colOff>
      <xdr:row>1</xdr:row>
      <xdr:rowOff>0</xdr:rowOff>
    </xdr:from>
    <xdr:ext cx="266700" cy="26035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60350"/>
        </a:xfrm>
        <a:prstGeom prst="rect">
          <a:avLst/>
        </a:prstGeom>
      </xdr:spPr>
    </xdr:pic>
    <xdr:clientData/>
  </xdr:oneCellAnchor>
</xdr:wsDr>
</file>

<file path=xl/drawings/drawing73.xml><?xml version="1.0" encoding="utf-8"?>
<xdr:wsDr xmlns:xdr="http://schemas.openxmlformats.org/drawingml/2006/spreadsheetDrawing" xmlns:a="http://schemas.openxmlformats.org/drawingml/2006/main">
  <xdr:oneCellAnchor>
    <xdr:from>
      <xdr:col>0</xdr:col>
      <xdr:colOff>0</xdr:colOff>
      <xdr:row>1</xdr:row>
      <xdr:rowOff>0</xdr:rowOff>
    </xdr:from>
    <xdr:ext cx="266700" cy="26035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60350"/>
        </a:xfrm>
        <a:prstGeom prst="rect">
          <a:avLst/>
        </a:prstGeom>
      </xdr:spPr>
    </xdr:pic>
    <xdr:clientData/>
  </xdr:oneCellAnchor>
</xdr:wsDr>
</file>

<file path=xl/drawings/drawing74.xml><?xml version="1.0" encoding="utf-8"?>
<xdr:wsDr xmlns:xdr="http://schemas.openxmlformats.org/drawingml/2006/spreadsheetDrawing" xmlns:a="http://schemas.openxmlformats.org/drawingml/2006/main">
  <xdr:oneCellAnchor>
    <xdr:from>
      <xdr:col>0</xdr:col>
      <xdr:colOff>0</xdr:colOff>
      <xdr:row>1</xdr:row>
      <xdr:rowOff>0</xdr:rowOff>
    </xdr:from>
    <xdr:ext cx="266700" cy="26416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64160"/>
        </a:xfrm>
        <a:prstGeom prst="rect">
          <a:avLst/>
        </a:prstGeom>
      </xdr:spPr>
    </xdr:pic>
    <xdr:clientData/>
  </xdr:oneCellAnchor>
</xdr:wsDr>
</file>

<file path=xl/drawings/drawing75.xml><?xml version="1.0" encoding="utf-8"?>
<xdr:wsDr xmlns:xdr="http://schemas.openxmlformats.org/drawingml/2006/spreadsheetDrawing" xmlns:a="http://schemas.openxmlformats.org/drawingml/2006/main">
  <xdr:oneCellAnchor>
    <xdr:from>
      <xdr:col>0</xdr:col>
      <xdr:colOff>0</xdr:colOff>
      <xdr:row>1</xdr:row>
      <xdr:rowOff>0</xdr:rowOff>
    </xdr:from>
    <xdr:ext cx="266700" cy="26416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64160"/>
        </a:xfrm>
        <a:prstGeom prst="rect">
          <a:avLst/>
        </a:prstGeom>
      </xdr:spPr>
    </xdr:pic>
    <xdr:clientData/>
  </xdr:oneCellAnchor>
</xdr:wsDr>
</file>

<file path=xl/drawings/drawing76.xml><?xml version="1.0" encoding="utf-8"?>
<xdr:wsDr xmlns:xdr="http://schemas.openxmlformats.org/drawingml/2006/spreadsheetDrawing" xmlns:a="http://schemas.openxmlformats.org/drawingml/2006/main">
  <xdr:oneCellAnchor>
    <xdr:from>
      <xdr:col>0</xdr:col>
      <xdr:colOff>0</xdr:colOff>
      <xdr:row>1</xdr:row>
      <xdr:rowOff>0</xdr:rowOff>
    </xdr:from>
    <xdr:ext cx="266700" cy="26035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6035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1</xdr:row>
      <xdr:rowOff>0</xdr:rowOff>
    </xdr:from>
    <xdr:ext cx="266700" cy="26670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66700"/>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1</xdr:row>
      <xdr:rowOff>0</xdr:rowOff>
    </xdr:from>
    <xdr:ext cx="266700" cy="266700"/>
    <xdr:pic>
      <xdr:nvPicPr>
        <xdr:cNvPr id="2" name="Image 1" descr="total-back.png">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03200"/>
          <a:ext cx="266700" cy="266700"/>
        </a:xfrm>
        <a:prstGeom prst="rect">
          <a:avLst/>
        </a:prstGeom>
      </xdr:spPr>
    </xdr:pic>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5.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7.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8.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9.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0.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1.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2.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44.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45.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46.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47.bin"/></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48.bin"/></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49.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0.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52.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53.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54.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55.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56.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57.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58.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59.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0.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62.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63.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64.bin"/></Relationships>
</file>

<file path=xl/worksheets/_rels/sheet73.xml.rels><?xml version="1.0" encoding="UTF-8" standalone="yes"?>
<Relationships xmlns="http://schemas.openxmlformats.org/package/2006/relationships"><Relationship Id="rId1" Type="http://schemas.openxmlformats.org/officeDocument/2006/relationships/drawing" Target="../drawings/drawing73.xml"/></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74.xml"/></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65.bin"/></Relationships>
</file>

<file path=xl/worksheets/_rels/sheet76.xml.rels><?xml version="1.0" encoding="UTF-8" standalone="yes"?>
<Relationships xmlns="http://schemas.openxmlformats.org/package/2006/relationships"><Relationship Id="rId1" Type="http://schemas.openxmlformats.org/officeDocument/2006/relationships/drawing" Target="../drawings/drawing7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
    <tabColor rgb="FFFF0000"/>
    <pageSetUpPr fitToPage="1"/>
  </sheetPr>
  <dimension ref="B3:F100"/>
  <sheetViews>
    <sheetView showGridLines="0" tabSelected="1" zoomScaleNormal="100" zoomScalePageLayoutView="90" workbookViewId="0">
      <selection activeCell="E15" sqref="E15"/>
    </sheetView>
  </sheetViews>
  <sheetFormatPr defaultColWidth="10.875" defaultRowHeight="19.5" customHeight="1"/>
  <cols>
    <col min="1" max="1" width="5.5" style="442" customWidth="1"/>
    <col min="2" max="2" width="106.625" style="442" bestFit="1" customWidth="1"/>
    <col min="3" max="3" width="10.875" style="443"/>
    <col min="4" max="256" width="10.875" style="442"/>
    <col min="257" max="257" width="5.5" style="442" customWidth="1"/>
    <col min="258" max="258" width="106.625" style="442" bestFit="1" customWidth="1"/>
    <col min="259" max="512" width="10.875" style="442"/>
    <col min="513" max="513" width="5.5" style="442" customWidth="1"/>
    <col min="514" max="514" width="106.625" style="442" bestFit="1" customWidth="1"/>
    <col min="515" max="768" width="10.875" style="442"/>
    <col min="769" max="769" width="5.5" style="442" customWidth="1"/>
    <col min="770" max="770" width="106.625" style="442" bestFit="1" customWidth="1"/>
    <col min="771" max="1024" width="10.875" style="442"/>
    <col min="1025" max="1025" width="5.5" style="442" customWidth="1"/>
    <col min="1026" max="1026" width="106.625" style="442" bestFit="1" customWidth="1"/>
    <col min="1027" max="1280" width="10.875" style="442"/>
    <col min="1281" max="1281" width="5.5" style="442" customWidth="1"/>
    <col min="1282" max="1282" width="106.625" style="442" bestFit="1" customWidth="1"/>
    <col min="1283" max="1536" width="10.875" style="442"/>
    <col min="1537" max="1537" width="5.5" style="442" customWidth="1"/>
    <col min="1538" max="1538" width="106.625" style="442" bestFit="1" customWidth="1"/>
    <col min="1539" max="1792" width="10.875" style="442"/>
    <col min="1793" max="1793" width="5.5" style="442" customWidth="1"/>
    <col min="1794" max="1794" width="106.625" style="442" bestFit="1" customWidth="1"/>
    <col min="1795" max="2048" width="10.875" style="442"/>
    <col min="2049" max="2049" width="5.5" style="442" customWidth="1"/>
    <col min="2050" max="2050" width="106.625" style="442" bestFit="1" customWidth="1"/>
    <col min="2051" max="2304" width="10.875" style="442"/>
    <col min="2305" max="2305" width="5.5" style="442" customWidth="1"/>
    <col min="2306" max="2306" width="106.625" style="442" bestFit="1" customWidth="1"/>
    <col min="2307" max="2560" width="10.875" style="442"/>
    <col min="2561" max="2561" width="5.5" style="442" customWidth="1"/>
    <col min="2562" max="2562" width="106.625" style="442" bestFit="1" customWidth="1"/>
    <col min="2563" max="2816" width="10.875" style="442"/>
    <col min="2817" max="2817" width="5.5" style="442" customWidth="1"/>
    <col min="2818" max="2818" width="106.625" style="442" bestFit="1" customWidth="1"/>
    <col min="2819" max="3072" width="10.875" style="442"/>
    <col min="3073" max="3073" width="5.5" style="442" customWidth="1"/>
    <col min="3074" max="3074" width="106.625" style="442" bestFit="1" customWidth="1"/>
    <col min="3075" max="3328" width="10.875" style="442"/>
    <col min="3329" max="3329" width="5.5" style="442" customWidth="1"/>
    <col min="3330" max="3330" width="106.625" style="442" bestFit="1" customWidth="1"/>
    <col min="3331" max="3584" width="10.875" style="442"/>
    <col min="3585" max="3585" width="5.5" style="442" customWidth="1"/>
    <col min="3586" max="3586" width="106.625" style="442" bestFit="1" customWidth="1"/>
    <col min="3587" max="3840" width="10.875" style="442"/>
    <col min="3841" max="3841" width="5.5" style="442" customWidth="1"/>
    <col min="3842" max="3842" width="106.625" style="442" bestFit="1" customWidth="1"/>
    <col min="3843" max="4096" width="10.875" style="442"/>
    <col min="4097" max="4097" width="5.5" style="442" customWidth="1"/>
    <col min="4098" max="4098" width="106.625" style="442" bestFit="1" customWidth="1"/>
    <col min="4099" max="4352" width="10.875" style="442"/>
    <col min="4353" max="4353" width="5.5" style="442" customWidth="1"/>
    <col min="4354" max="4354" width="106.625" style="442" bestFit="1" customWidth="1"/>
    <col min="4355" max="4608" width="10.875" style="442"/>
    <col min="4609" max="4609" width="5.5" style="442" customWidth="1"/>
    <col min="4610" max="4610" width="106.625" style="442" bestFit="1" customWidth="1"/>
    <col min="4611" max="4864" width="10.875" style="442"/>
    <col min="4865" max="4865" width="5.5" style="442" customWidth="1"/>
    <col min="4866" max="4866" width="106.625" style="442" bestFit="1" customWidth="1"/>
    <col min="4867" max="5120" width="10.875" style="442"/>
    <col min="5121" max="5121" width="5.5" style="442" customWidth="1"/>
    <col min="5122" max="5122" width="106.625" style="442" bestFit="1" customWidth="1"/>
    <col min="5123" max="5376" width="10.875" style="442"/>
    <col min="5377" max="5377" width="5.5" style="442" customWidth="1"/>
    <col min="5378" max="5378" width="106.625" style="442" bestFit="1" customWidth="1"/>
    <col min="5379" max="5632" width="10.875" style="442"/>
    <col min="5633" max="5633" width="5.5" style="442" customWidth="1"/>
    <col min="5634" max="5634" width="106.625" style="442" bestFit="1" customWidth="1"/>
    <col min="5635" max="5888" width="10.875" style="442"/>
    <col min="5889" max="5889" width="5.5" style="442" customWidth="1"/>
    <col min="5890" max="5890" width="106.625" style="442" bestFit="1" customWidth="1"/>
    <col min="5891" max="6144" width="10.875" style="442"/>
    <col min="6145" max="6145" width="5.5" style="442" customWidth="1"/>
    <col min="6146" max="6146" width="106.625" style="442" bestFit="1" customWidth="1"/>
    <col min="6147" max="6400" width="10.875" style="442"/>
    <col min="6401" max="6401" width="5.5" style="442" customWidth="1"/>
    <col min="6402" max="6402" width="106.625" style="442" bestFit="1" customWidth="1"/>
    <col min="6403" max="6656" width="10.875" style="442"/>
    <col min="6657" max="6657" width="5.5" style="442" customWidth="1"/>
    <col min="6658" max="6658" width="106.625" style="442" bestFit="1" customWidth="1"/>
    <col min="6659" max="6912" width="10.875" style="442"/>
    <col min="6913" max="6913" width="5.5" style="442" customWidth="1"/>
    <col min="6914" max="6914" width="106.625" style="442" bestFit="1" customWidth="1"/>
    <col min="6915" max="7168" width="10.875" style="442"/>
    <col min="7169" max="7169" width="5.5" style="442" customWidth="1"/>
    <col min="7170" max="7170" width="106.625" style="442" bestFit="1" customWidth="1"/>
    <col min="7171" max="7424" width="10.875" style="442"/>
    <col min="7425" max="7425" width="5.5" style="442" customWidth="1"/>
    <col min="7426" max="7426" width="106.625" style="442" bestFit="1" customWidth="1"/>
    <col min="7427" max="7680" width="10.875" style="442"/>
    <col min="7681" max="7681" width="5.5" style="442" customWidth="1"/>
    <col min="7682" max="7682" width="106.625" style="442" bestFit="1" customWidth="1"/>
    <col min="7683" max="7936" width="10.875" style="442"/>
    <col min="7937" max="7937" width="5.5" style="442" customWidth="1"/>
    <col min="7938" max="7938" width="106.625" style="442" bestFit="1" customWidth="1"/>
    <col min="7939" max="8192" width="10.875" style="442"/>
    <col min="8193" max="8193" width="5.5" style="442" customWidth="1"/>
    <col min="8194" max="8194" width="106.625" style="442" bestFit="1" customWidth="1"/>
    <col min="8195" max="8448" width="10.875" style="442"/>
    <col min="8449" max="8449" width="5.5" style="442" customWidth="1"/>
    <col min="8450" max="8450" width="106.625" style="442" bestFit="1" customWidth="1"/>
    <col min="8451" max="8704" width="10.875" style="442"/>
    <col min="8705" max="8705" width="5.5" style="442" customWidth="1"/>
    <col min="8706" max="8706" width="106.625" style="442" bestFit="1" customWidth="1"/>
    <col min="8707" max="8960" width="10.875" style="442"/>
    <col min="8961" max="8961" width="5.5" style="442" customWidth="1"/>
    <col min="8962" max="8962" width="106.625" style="442" bestFit="1" customWidth="1"/>
    <col min="8963" max="9216" width="10.875" style="442"/>
    <col min="9217" max="9217" width="5.5" style="442" customWidth="1"/>
    <col min="9218" max="9218" width="106.625" style="442" bestFit="1" customWidth="1"/>
    <col min="9219" max="9472" width="10.875" style="442"/>
    <col min="9473" max="9473" width="5.5" style="442" customWidth="1"/>
    <col min="9474" max="9474" width="106.625" style="442" bestFit="1" customWidth="1"/>
    <col min="9475" max="9728" width="10.875" style="442"/>
    <col min="9729" max="9729" width="5.5" style="442" customWidth="1"/>
    <col min="9730" max="9730" width="106.625" style="442" bestFit="1" customWidth="1"/>
    <col min="9731" max="9984" width="10.875" style="442"/>
    <col min="9985" max="9985" width="5.5" style="442" customWidth="1"/>
    <col min="9986" max="9986" width="106.625" style="442" bestFit="1" customWidth="1"/>
    <col min="9987" max="10240" width="10.875" style="442"/>
    <col min="10241" max="10241" width="5.5" style="442" customWidth="1"/>
    <col min="10242" max="10242" width="106.625" style="442" bestFit="1" customWidth="1"/>
    <col min="10243" max="10496" width="10.875" style="442"/>
    <col min="10497" max="10497" width="5.5" style="442" customWidth="1"/>
    <col min="10498" max="10498" width="106.625" style="442" bestFit="1" customWidth="1"/>
    <col min="10499" max="10752" width="10.875" style="442"/>
    <col min="10753" max="10753" width="5.5" style="442" customWidth="1"/>
    <col min="10754" max="10754" width="106.625" style="442" bestFit="1" customWidth="1"/>
    <col min="10755" max="11008" width="10.875" style="442"/>
    <col min="11009" max="11009" width="5.5" style="442" customWidth="1"/>
    <col min="11010" max="11010" width="106.625" style="442" bestFit="1" customWidth="1"/>
    <col min="11011" max="11264" width="10.875" style="442"/>
    <col min="11265" max="11265" width="5.5" style="442" customWidth="1"/>
    <col min="11266" max="11266" width="106.625" style="442" bestFit="1" customWidth="1"/>
    <col min="11267" max="11520" width="10.875" style="442"/>
    <col min="11521" max="11521" width="5.5" style="442" customWidth="1"/>
    <col min="11522" max="11522" width="106.625" style="442" bestFit="1" customWidth="1"/>
    <col min="11523" max="11776" width="10.875" style="442"/>
    <col min="11777" max="11777" width="5.5" style="442" customWidth="1"/>
    <col min="11778" max="11778" width="106.625" style="442" bestFit="1" customWidth="1"/>
    <col min="11779" max="12032" width="10.875" style="442"/>
    <col min="12033" max="12033" width="5.5" style="442" customWidth="1"/>
    <col min="12034" max="12034" width="106.625" style="442" bestFit="1" customWidth="1"/>
    <col min="12035" max="12288" width="10.875" style="442"/>
    <col min="12289" max="12289" width="5.5" style="442" customWidth="1"/>
    <col min="12290" max="12290" width="106.625" style="442" bestFit="1" customWidth="1"/>
    <col min="12291" max="12544" width="10.875" style="442"/>
    <col min="12545" max="12545" width="5.5" style="442" customWidth="1"/>
    <col min="12546" max="12546" width="106.625" style="442" bestFit="1" customWidth="1"/>
    <col min="12547" max="12800" width="10.875" style="442"/>
    <col min="12801" max="12801" width="5.5" style="442" customWidth="1"/>
    <col min="12802" max="12802" width="106.625" style="442" bestFit="1" customWidth="1"/>
    <col min="12803" max="13056" width="10.875" style="442"/>
    <col min="13057" max="13057" width="5.5" style="442" customWidth="1"/>
    <col min="13058" max="13058" width="106.625" style="442" bestFit="1" customWidth="1"/>
    <col min="13059" max="13312" width="10.875" style="442"/>
    <col min="13313" max="13313" width="5.5" style="442" customWidth="1"/>
    <col min="13314" max="13314" width="106.625" style="442" bestFit="1" customWidth="1"/>
    <col min="13315" max="13568" width="10.875" style="442"/>
    <col min="13569" max="13569" width="5.5" style="442" customWidth="1"/>
    <col min="13570" max="13570" width="106.625" style="442" bestFit="1" customWidth="1"/>
    <col min="13571" max="13824" width="10.875" style="442"/>
    <col min="13825" max="13825" width="5.5" style="442" customWidth="1"/>
    <col min="13826" max="13826" width="106.625" style="442" bestFit="1" customWidth="1"/>
    <col min="13827" max="14080" width="10.875" style="442"/>
    <col min="14081" max="14081" width="5.5" style="442" customWidth="1"/>
    <col min="14082" max="14082" width="106.625" style="442" bestFit="1" customWidth="1"/>
    <col min="14083" max="14336" width="10.875" style="442"/>
    <col min="14337" max="14337" width="5.5" style="442" customWidth="1"/>
    <col min="14338" max="14338" width="106.625" style="442" bestFit="1" customWidth="1"/>
    <col min="14339" max="14592" width="10.875" style="442"/>
    <col min="14593" max="14593" width="5.5" style="442" customWidth="1"/>
    <col min="14594" max="14594" width="106.625" style="442" bestFit="1" customWidth="1"/>
    <col min="14595" max="14848" width="10.875" style="442"/>
    <col min="14849" max="14849" width="5.5" style="442" customWidth="1"/>
    <col min="14850" max="14850" width="106.625" style="442" bestFit="1" customWidth="1"/>
    <col min="14851" max="15104" width="10.875" style="442"/>
    <col min="15105" max="15105" width="5.5" style="442" customWidth="1"/>
    <col min="15106" max="15106" width="106.625" style="442" bestFit="1" customWidth="1"/>
    <col min="15107" max="15360" width="10.875" style="442"/>
    <col min="15361" max="15361" width="5.5" style="442" customWidth="1"/>
    <col min="15362" max="15362" width="106.625" style="442" bestFit="1" customWidth="1"/>
    <col min="15363" max="15616" width="10.875" style="442"/>
    <col min="15617" max="15617" width="5.5" style="442" customWidth="1"/>
    <col min="15618" max="15618" width="106.625" style="442" bestFit="1" customWidth="1"/>
    <col min="15619" max="15872" width="10.875" style="442"/>
    <col min="15873" max="15873" width="5.5" style="442" customWidth="1"/>
    <col min="15874" max="15874" width="106.625" style="442" bestFit="1" customWidth="1"/>
    <col min="15875" max="16128" width="10.875" style="442"/>
    <col min="16129" max="16129" width="5.5" style="442" customWidth="1"/>
    <col min="16130" max="16130" width="106.625" style="442" bestFit="1" customWidth="1"/>
    <col min="16131" max="16384" width="10.875" style="442"/>
  </cols>
  <sheetData>
    <row r="3" spans="2:6" ht="19.5" customHeight="1">
      <c r="B3" s="1155" t="s">
        <v>1005</v>
      </c>
      <c r="C3" s="1155"/>
    </row>
    <row r="5" spans="2:6" ht="19.5" customHeight="1">
      <c r="B5" s="1145" t="s">
        <v>297</v>
      </c>
    </row>
    <row r="6" spans="2:6" ht="19.5" customHeight="1">
      <c r="B6" s="1144" t="s">
        <v>298</v>
      </c>
    </row>
    <row r="7" spans="2:6" ht="19.5" customHeight="1">
      <c r="B7" s="1146" t="s">
        <v>1004</v>
      </c>
    </row>
    <row r="8" spans="2:6" ht="19.5" customHeight="1">
      <c r="B8" s="1147" t="s">
        <v>299</v>
      </c>
    </row>
    <row r="9" spans="2:6" ht="19.5" customHeight="1">
      <c r="B9" s="1148" t="s">
        <v>300</v>
      </c>
    </row>
    <row r="11" spans="2:6" s="1136" customFormat="1" ht="42.95" customHeight="1">
      <c r="B11" s="1137" t="s">
        <v>297</v>
      </c>
      <c r="C11" s="1135"/>
    </row>
    <row r="12" spans="2:6" ht="27.95" customHeight="1">
      <c r="B12" s="1134" t="s">
        <v>1006</v>
      </c>
      <c r="C12" s="584"/>
      <c r="D12" s="584"/>
      <c r="E12" s="584"/>
      <c r="F12" s="584"/>
    </row>
    <row r="13" spans="2:6" ht="27.95" customHeight="1">
      <c r="B13" s="1142" t="s">
        <v>1007</v>
      </c>
      <c r="C13" s="584"/>
      <c r="D13" s="584"/>
      <c r="E13" s="584"/>
      <c r="F13" s="584"/>
    </row>
    <row r="14" spans="2:6" ht="27.95" customHeight="1">
      <c r="B14" s="1142" t="s">
        <v>1008</v>
      </c>
      <c r="C14" s="584"/>
      <c r="D14" s="584"/>
      <c r="E14" s="584"/>
      <c r="F14" s="584"/>
    </row>
    <row r="15" spans="2:6" ht="27.95" customHeight="1">
      <c r="B15" s="1142" t="s">
        <v>1009</v>
      </c>
      <c r="C15" s="584"/>
      <c r="D15" s="584"/>
      <c r="E15" s="584"/>
      <c r="F15" s="584"/>
    </row>
    <row r="16" spans="2:6" ht="27.95" customHeight="1">
      <c r="B16" s="1142" t="s">
        <v>1010</v>
      </c>
      <c r="C16" s="584"/>
      <c r="D16" s="584"/>
      <c r="E16" s="584"/>
      <c r="F16" s="584"/>
    </row>
    <row r="17" spans="2:6" ht="27.95" customHeight="1">
      <c r="B17" s="1142" t="s">
        <v>1011</v>
      </c>
      <c r="C17" s="584"/>
      <c r="D17" s="584"/>
      <c r="E17" s="584"/>
      <c r="F17" s="584"/>
    </row>
    <row r="18" spans="2:6" ht="27.95" customHeight="1">
      <c r="B18" s="1142" t="s">
        <v>1012</v>
      </c>
      <c r="C18" s="584"/>
      <c r="D18" s="584"/>
      <c r="E18" s="584"/>
      <c r="F18" s="584"/>
    </row>
    <row r="19" spans="2:6" ht="27.95" customHeight="1">
      <c r="B19" s="1142" t="s">
        <v>1013</v>
      </c>
      <c r="C19" s="584"/>
      <c r="D19" s="584"/>
      <c r="E19" s="584"/>
      <c r="F19" s="584"/>
    </row>
    <row r="20" spans="2:6" ht="27.95" customHeight="1">
      <c r="B20" s="1142" t="s">
        <v>1014</v>
      </c>
      <c r="C20" s="584"/>
      <c r="D20" s="584"/>
      <c r="E20" s="584"/>
      <c r="F20" s="584"/>
    </row>
    <row r="21" spans="2:6" ht="27.95" customHeight="1">
      <c r="B21" s="1142" t="s">
        <v>1015</v>
      </c>
      <c r="C21" s="584"/>
      <c r="D21" s="584"/>
      <c r="E21" s="584"/>
      <c r="F21" s="584"/>
    </row>
    <row r="22" spans="2:6" ht="27.95" customHeight="1">
      <c r="B22" s="1142" t="s">
        <v>1016</v>
      </c>
      <c r="C22" s="584"/>
      <c r="D22" s="584"/>
      <c r="E22" s="584"/>
      <c r="F22" s="584"/>
    </row>
    <row r="23" spans="2:6" ht="27.95" customHeight="1">
      <c r="B23" s="1142" t="s">
        <v>1017</v>
      </c>
      <c r="C23" s="584"/>
      <c r="D23" s="584"/>
      <c r="E23" s="584"/>
      <c r="F23" s="584"/>
    </row>
    <row r="24" spans="2:6" ht="27.95" customHeight="1">
      <c r="B24" s="1142" t="s">
        <v>1018</v>
      </c>
      <c r="C24" s="584"/>
      <c r="D24" s="584"/>
      <c r="E24" s="584"/>
      <c r="F24" s="584"/>
    </row>
    <row r="25" spans="2:6" s="444" customFormat="1" ht="27.95" customHeight="1">
      <c r="B25" s="1142" t="s">
        <v>1019</v>
      </c>
      <c r="C25" s="584"/>
      <c r="D25" s="584"/>
      <c r="E25" s="584"/>
      <c r="F25" s="584"/>
    </row>
    <row r="26" spans="2:6" ht="27.95" customHeight="1">
      <c r="B26" s="1142" t="s">
        <v>1020</v>
      </c>
      <c r="C26" s="584"/>
      <c r="D26" s="584"/>
      <c r="E26" s="584"/>
      <c r="F26" s="584"/>
    </row>
    <row r="27" spans="2:6" ht="27.95" customHeight="1">
      <c r="B27" s="1142" t="s">
        <v>1021</v>
      </c>
      <c r="C27" s="584"/>
      <c r="D27" s="584"/>
      <c r="E27" s="584"/>
      <c r="F27" s="584"/>
    </row>
    <row r="28" spans="2:6" ht="27.95" customHeight="1">
      <c r="B28" s="1142" t="s">
        <v>1022</v>
      </c>
      <c r="C28" s="584"/>
      <c r="D28" s="584"/>
      <c r="E28" s="584"/>
      <c r="F28" s="584"/>
    </row>
    <row r="29" spans="2:6" ht="27.95" customHeight="1">
      <c r="B29" s="1142" t="s">
        <v>1023</v>
      </c>
      <c r="C29" s="584"/>
      <c r="D29" s="584"/>
      <c r="E29" s="584"/>
      <c r="F29" s="584"/>
    </row>
    <row r="30" spans="2:6" ht="27.95" customHeight="1">
      <c r="B30" s="1142" t="s">
        <v>1024</v>
      </c>
      <c r="C30" s="584"/>
      <c r="D30" s="584"/>
      <c r="E30" s="584"/>
      <c r="F30" s="584"/>
    </row>
    <row r="31" spans="2:6" ht="27.95" customHeight="1">
      <c r="B31" s="1142" t="s">
        <v>1025</v>
      </c>
      <c r="C31" s="584"/>
      <c r="D31" s="584"/>
      <c r="E31" s="584"/>
      <c r="F31" s="584"/>
    </row>
    <row r="32" spans="2:6" ht="27.95" customHeight="1">
      <c r="B32" s="1142" t="s">
        <v>1026</v>
      </c>
      <c r="C32" s="584"/>
      <c r="D32" s="584"/>
      <c r="E32" s="584"/>
      <c r="F32" s="584"/>
    </row>
    <row r="33" spans="2:6" ht="27.95" customHeight="1">
      <c r="B33" s="1142" t="s">
        <v>1027</v>
      </c>
      <c r="C33" s="584"/>
      <c r="D33" s="584"/>
      <c r="E33" s="584"/>
      <c r="F33" s="584"/>
    </row>
    <row r="34" spans="2:6" ht="27.95" customHeight="1">
      <c r="B34" s="1142" t="s">
        <v>1028</v>
      </c>
      <c r="C34" s="584"/>
      <c r="D34" s="584"/>
      <c r="E34" s="584"/>
      <c r="F34" s="584"/>
    </row>
    <row r="35" spans="2:6" ht="27.95" customHeight="1">
      <c r="B35" s="1142" t="s">
        <v>1029</v>
      </c>
      <c r="C35" s="584"/>
      <c r="D35" s="584"/>
      <c r="E35" s="584"/>
      <c r="F35" s="584"/>
    </row>
    <row r="36" spans="2:6" ht="27.95" customHeight="1">
      <c r="B36" s="1142" t="s">
        <v>1030</v>
      </c>
      <c r="C36" s="584"/>
      <c r="D36" s="584"/>
      <c r="E36" s="584"/>
      <c r="F36" s="584"/>
    </row>
    <row r="37" spans="2:6" ht="27.95" customHeight="1">
      <c r="B37" s="1142" t="s">
        <v>1076</v>
      </c>
      <c r="C37" s="584"/>
      <c r="D37" s="584"/>
      <c r="E37" s="584"/>
      <c r="F37" s="584"/>
    </row>
    <row r="38" spans="2:6" ht="27.95" customHeight="1">
      <c r="B38" s="1142" t="s">
        <v>1031</v>
      </c>
      <c r="C38" s="584"/>
      <c r="D38" s="584"/>
      <c r="E38" s="584"/>
      <c r="F38" s="584"/>
    </row>
    <row r="39" spans="2:6" ht="27.95" customHeight="1">
      <c r="B39" s="1142" t="s">
        <v>1032</v>
      </c>
      <c r="C39" s="584"/>
      <c r="D39" s="584"/>
      <c r="E39" s="584"/>
      <c r="F39" s="584"/>
    </row>
    <row r="40" spans="2:6" ht="27.95" customHeight="1">
      <c r="B40" s="1142" t="s">
        <v>1033</v>
      </c>
      <c r="C40" s="584"/>
      <c r="D40" s="584"/>
      <c r="E40" s="584"/>
      <c r="F40" s="584"/>
    </row>
    <row r="41" spans="2:6" ht="27.95" customHeight="1">
      <c r="B41" s="1142" t="s">
        <v>1034</v>
      </c>
      <c r="C41" s="584"/>
      <c r="D41" s="584"/>
      <c r="E41" s="584"/>
      <c r="F41" s="584"/>
    </row>
    <row r="42" spans="2:6" ht="27.95" customHeight="1">
      <c r="B42" s="1142" t="s">
        <v>1035</v>
      </c>
      <c r="C42" s="584"/>
      <c r="D42" s="584"/>
      <c r="E42" s="584"/>
      <c r="F42" s="584"/>
    </row>
    <row r="43" spans="2:6" ht="27.95" customHeight="1">
      <c r="B43" s="1133"/>
      <c r="C43" s="584"/>
      <c r="D43" s="584"/>
      <c r="E43" s="584"/>
      <c r="F43" s="584"/>
    </row>
    <row r="44" spans="2:6" ht="42.95" customHeight="1">
      <c r="B44" s="1141" t="s">
        <v>298</v>
      </c>
    </row>
    <row r="45" spans="2:6" ht="27.95" customHeight="1">
      <c r="B45" s="1143" t="s">
        <v>1036</v>
      </c>
      <c r="C45" s="584"/>
      <c r="D45" s="584"/>
      <c r="E45" s="584"/>
      <c r="F45" s="584"/>
    </row>
    <row r="46" spans="2:6" ht="27.95" customHeight="1">
      <c r="B46" s="1142" t="s">
        <v>1037</v>
      </c>
      <c r="C46" s="584"/>
      <c r="D46" s="584"/>
      <c r="E46" s="584"/>
      <c r="F46" s="584"/>
    </row>
    <row r="47" spans="2:6" ht="27.95" customHeight="1">
      <c r="B47" s="1142" t="s">
        <v>1038</v>
      </c>
      <c r="C47" s="584"/>
      <c r="D47" s="584"/>
      <c r="E47" s="584"/>
      <c r="F47" s="584"/>
    </row>
    <row r="48" spans="2:6" ht="27.95" customHeight="1">
      <c r="B48" s="1142" t="s">
        <v>1039</v>
      </c>
      <c r="C48" s="584"/>
      <c r="D48" s="584"/>
      <c r="E48" s="584"/>
      <c r="F48" s="584"/>
    </row>
    <row r="49" spans="2:6" ht="27.95" customHeight="1">
      <c r="B49" s="1142" t="s">
        <v>1040</v>
      </c>
      <c r="C49" s="584"/>
      <c r="D49" s="584"/>
      <c r="E49" s="584"/>
      <c r="F49" s="584"/>
    </row>
    <row r="50" spans="2:6" ht="27.95" customHeight="1">
      <c r="B50" s="1142" t="s">
        <v>1041</v>
      </c>
      <c r="C50" s="584"/>
      <c r="D50" s="584"/>
      <c r="E50" s="584"/>
      <c r="F50" s="584"/>
    </row>
    <row r="51" spans="2:6" ht="27.95" customHeight="1">
      <c r="B51" s="1142" t="s">
        <v>1042</v>
      </c>
      <c r="C51" s="584"/>
      <c r="D51" s="584"/>
      <c r="E51" s="584"/>
      <c r="F51" s="584"/>
    </row>
    <row r="52" spans="2:6" ht="27.95" customHeight="1">
      <c r="B52" s="1142" t="s">
        <v>1043</v>
      </c>
      <c r="C52" s="584"/>
      <c r="D52" s="584"/>
      <c r="E52" s="584"/>
      <c r="F52" s="584"/>
    </row>
    <row r="53" spans="2:6" ht="27.95" customHeight="1">
      <c r="B53" s="1142" t="s">
        <v>1044</v>
      </c>
      <c r="C53" s="584"/>
      <c r="D53" s="584"/>
      <c r="E53" s="584"/>
      <c r="F53" s="584"/>
    </row>
    <row r="54" spans="2:6" ht="27.95" customHeight="1">
      <c r="B54" s="1142" t="s">
        <v>1045</v>
      </c>
      <c r="C54" s="584"/>
      <c r="D54" s="584"/>
      <c r="E54" s="584"/>
      <c r="F54" s="584"/>
    </row>
    <row r="55" spans="2:6" ht="27.95" customHeight="1">
      <c r="B55" s="1142" t="s">
        <v>1046</v>
      </c>
      <c r="C55" s="584"/>
      <c r="D55" s="584"/>
      <c r="E55" s="584"/>
      <c r="F55" s="584"/>
    </row>
    <row r="56" spans="2:6" ht="27.95" customHeight="1">
      <c r="B56" s="1142" t="s">
        <v>1047</v>
      </c>
      <c r="C56" s="584"/>
      <c r="D56" s="584"/>
      <c r="E56" s="584"/>
      <c r="F56" s="584"/>
    </row>
    <row r="57" spans="2:6" ht="27.95" customHeight="1">
      <c r="B57" s="1142" t="s">
        <v>1048</v>
      </c>
      <c r="C57" s="584"/>
      <c r="D57" s="584"/>
      <c r="E57" s="584"/>
      <c r="F57" s="584"/>
    </row>
    <row r="58" spans="2:6" ht="27.95" customHeight="1">
      <c r="B58" s="1142" t="s">
        <v>1049</v>
      </c>
      <c r="C58" s="584"/>
      <c r="D58" s="584"/>
      <c r="E58" s="584"/>
      <c r="F58" s="584"/>
    </row>
    <row r="59" spans="2:6" ht="27.95" customHeight="1">
      <c r="B59" s="1142" t="s">
        <v>1050</v>
      </c>
      <c r="C59" s="584"/>
      <c r="D59" s="584"/>
      <c r="E59" s="584"/>
      <c r="F59" s="584"/>
    </row>
    <row r="60" spans="2:6" ht="27.95" customHeight="1">
      <c r="B60" s="1142" t="s">
        <v>1051</v>
      </c>
      <c r="C60" s="584"/>
      <c r="D60" s="584"/>
      <c r="E60" s="584"/>
      <c r="F60" s="584"/>
    </row>
    <row r="61" spans="2:6" ht="27.95" customHeight="1">
      <c r="B61" s="1142" t="s">
        <v>1052</v>
      </c>
      <c r="C61" s="584"/>
      <c r="D61" s="584"/>
      <c r="E61" s="584"/>
      <c r="F61" s="584"/>
    </row>
    <row r="62" spans="2:6" ht="27.95" customHeight="1">
      <c r="B62" s="1142" t="s">
        <v>1053</v>
      </c>
      <c r="C62" s="584"/>
      <c r="D62" s="584"/>
      <c r="E62" s="584"/>
      <c r="F62" s="584"/>
    </row>
    <row r="63" spans="2:6" ht="27.95" customHeight="1">
      <c r="B63" s="1142" t="s">
        <v>1054</v>
      </c>
      <c r="C63" s="584"/>
      <c r="D63" s="584"/>
      <c r="E63" s="584"/>
      <c r="F63" s="584"/>
    </row>
    <row r="64" spans="2:6" ht="27.95" customHeight="1">
      <c r="B64" s="1142" t="s">
        <v>1055</v>
      </c>
      <c r="C64" s="584"/>
      <c r="D64" s="584"/>
      <c r="E64" s="584"/>
      <c r="F64" s="584"/>
    </row>
    <row r="65" spans="2:6" ht="27.95" customHeight="1">
      <c r="B65" s="1142" t="s">
        <v>1056</v>
      </c>
      <c r="C65" s="584"/>
      <c r="D65" s="584"/>
      <c r="E65" s="584"/>
      <c r="F65" s="584"/>
    </row>
    <row r="66" spans="2:6" ht="27.95" customHeight="1">
      <c r="B66" s="1142" t="s">
        <v>1081</v>
      </c>
      <c r="C66" s="584"/>
      <c r="D66" s="584"/>
      <c r="E66" s="584"/>
      <c r="F66" s="584"/>
    </row>
    <row r="67" spans="2:6" ht="27.95" customHeight="1">
      <c r="B67" s="584"/>
      <c r="C67" s="584"/>
      <c r="D67" s="584"/>
      <c r="E67" s="584"/>
      <c r="F67" s="584"/>
    </row>
    <row r="68" spans="2:6" ht="42.95" customHeight="1">
      <c r="B68" s="1140" t="s">
        <v>1004</v>
      </c>
      <c r="C68" s="584"/>
      <c r="D68" s="584"/>
      <c r="E68" s="584"/>
      <c r="F68" s="584"/>
    </row>
    <row r="69" spans="2:6" ht="27.95" customHeight="1">
      <c r="B69" s="1143" t="s">
        <v>1077</v>
      </c>
      <c r="C69" s="584"/>
      <c r="D69" s="584"/>
      <c r="E69" s="584"/>
      <c r="F69" s="584"/>
    </row>
    <row r="70" spans="2:6" ht="27.95" customHeight="1">
      <c r="B70" s="1142" t="s">
        <v>1057</v>
      </c>
      <c r="C70" s="584"/>
      <c r="D70" s="584"/>
      <c r="E70" s="584"/>
      <c r="F70" s="584"/>
    </row>
    <row r="71" spans="2:6" ht="27.95" customHeight="1">
      <c r="B71" s="1142" t="s">
        <v>1058</v>
      </c>
      <c r="C71" s="584"/>
      <c r="D71" s="584"/>
      <c r="E71" s="584"/>
      <c r="F71" s="584"/>
    </row>
    <row r="72" spans="2:6" ht="27.95" customHeight="1">
      <c r="B72" s="1142" t="s">
        <v>1059</v>
      </c>
      <c r="C72" s="584"/>
      <c r="D72" s="584"/>
      <c r="E72" s="584"/>
      <c r="F72" s="584"/>
    </row>
    <row r="73" spans="2:6" ht="27.95" customHeight="1">
      <c r="B73" s="584"/>
      <c r="C73" s="584"/>
      <c r="D73" s="584"/>
      <c r="E73" s="584"/>
      <c r="F73" s="584"/>
    </row>
    <row r="74" spans="2:6" ht="42.95" customHeight="1">
      <c r="B74" s="1139" t="s">
        <v>299</v>
      </c>
      <c r="C74" s="584"/>
      <c r="D74" s="584"/>
      <c r="E74" s="584"/>
      <c r="F74" s="584"/>
    </row>
    <row r="75" spans="2:6" ht="27.95" customHeight="1">
      <c r="B75" s="1143" t="s">
        <v>1082</v>
      </c>
      <c r="C75" s="584"/>
      <c r="D75" s="584"/>
      <c r="E75" s="584"/>
      <c r="F75" s="584"/>
    </row>
    <row r="76" spans="2:6" ht="27.95" customHeight="1">
      <c r="B76" s="1142" t="s">
        <v>1060</v>
      </c>
      <c r="C76" s="584"/>
      <c r="D76" s="584"/>
      <c r="E76" s="584"/>
      <c r="F76" s="584"/>
    </row>
    <row r="77" spans="2:6" ht="27.95" customHeight="1">
      <c r="B77" s="1142" t="s">
        <v>1061</v>
      </c>
      <c r="C77" s="584"/>
      <c r="D77" s="584"/>
      <c r="E77" s="584"/>
      <c r="F77" s="584"/>
    </row>
    <row r="78" spans="2:6" ht="27.95" customHeight="1">
      <c r="B78" s="1142" t="s">
        <v>1062</v>
      </c>
      <c r="C78" s="584"/>
      <c r="D78" s="584"/>
      <c r="E78" s="584"/>
      <c r="F78" s="584"/>
    </row>
    <row r="79" spans="2:6" ht="27.95" customHeight="1">
      <c r="B79" s="1142" t="s">
        <v>1063</v>
      </c>
      <c r="C79" s="584"/>
      <c r="D79" s="584"/>
      <c r="E79" s="584"/>
      <c r="F79" s="584"/>
    </row>
    <row r="80" spans="2:6" ht="27.95" customHeight="1">
      <c r="B80" s="1142" t="s">
        <v>1064</v>
      </c>
      <c r="C80" s="584"/>
      <c r="D80" s="584"/>
      <c r="E80" s="584"/>
      <c r="F80" s="584"/>
    </row>
    <row r="81" spans="2:6" ht="27.95" customHeight="1">
      <c r="B81" s="1142" t="s">
        <v>1065</v>
      </c>
      <c r="C81" s="584"/>
      <c r="D81" s="584"/>
      <c r="E81" s="584"/>
      <c r="F81" s="584"/>
    </row>
    <row r="82" spans="2:6" ht="27.95" customHeight="1">
      <c r="B82" s="1142" t="s">
        <v>1066</v>
      </c>
      <c r="C82" s="584"/>
      <c r="D82" s="584"/>
      <c r="E82" s="584"/>
      <c r="F82" s="584"/>
    </row>
    <row r="83" spans="2:6" ht="27.95" customHeight="1">
      <c r="B83" s="1142" t="s">
        <v>1067</v>
      </c>
      <c r="C83" s="584"/>
      <c r="D83" s="584"/>
      <c r="E83" s="584"/>
      <c r="F83" s="584"/>
    </row>
    <row r="84" spans="2:6" ht="27.95" customHeight="1">
      <c r="B84" s="1142" t="s">
        <v>1068</v>
      </c>
      <c r="C84" s="584"/>
      <c r="D84" s="584"/>
      <c r="E84" s="584"/>
      <c r="F84" s="584"/>
    </row>
    <row r="85" spans="2:6" ht="27.95" customHeight="1">
      <c r="B85" s="1142" t="s">
        <v>1069</v>
      </c>
      <c r="C85" s="584"/>
      <c r="D85" s="584"/>
      <c r="E85" s="584"/>
      <c r="F85" s="584"/>
    </row>
    <row r="86" spans="2:6" ht="27.95" customHeight="1">
      <c r="B86" s="1142" t="s">
        <v>1070</v>
      </c>
      <c r="C86" s="584"/>
      <c r="D86" s="584"/>
      <c r="E86" s="584"/>
      <c r="F86" s="584"/>
    </row>
    <row r="87" spans="2:6" ht="27.95" customHeight="1">
      <c r="B87" s="1142" t="s">
        <v>1071</v>
      </c>
      <c r="C87" s="584"/>
      <c r="D87" s="584"/>
      <c r="E87" s="584"/>
      <c r="F87" s="584"/>
    </row>
    <row r="88" spans="2:6" ht="27.95" customHeight="1">
      <c r="B88" s="584"/>
      <c r="C88" s="584"/>
      <c r="D88" s="584"/>
      <c r="E88" s="584"/>
      <c r="F88" s="584"/>
    </row>
    <row r="89" spans="2:6" ht="42.95" customHeight="1">
      <c r="B89" s="1138" t="s">
        <v>300</v>
      </c>
      <c r="C89" s="584"/>
      <c r="D89" s="584"/>
      <c r="E89" s="584"/>
      <c r="F89" s="584"/>
    </row>
    <row r="90" spans="2:6" ht="27.95" customHeight="1">
      <c r="B90" s="1143" t="s">
        <v>1078</v>
      </c>
      <c r="C90" s="584"/>
      <c r="D90" s="584"/>
      <c r="E90" s="584"/>
      <c r="F90" s="584"/>
    </row>
    <row r="91" spans="2:6" ht="27.95" customHeight="1">
      <c r="B91" s="1142" t="s">
        <v>1072</v>
      </c>
      <c r="C91" s="584"/>
      <c r="D91" s="584"/>
      <c r="E91" s="584"/>
      <c r="F91" s="584"/>
    </row>
    <row r="92" spans="2:6" ht="27.95" customHeight="1">
      <c r="B92" s="1142" t="s">
        <v>1073</v>
      </c>
      <c r="C92" s="584"/>
      <c r="D92" s="584"/>
      <c r="E92" s="584"/>
      <c r="F92" s="584"/>
    </row>
    <row r="93" spans="2:6" ht="27.95" customHeight="1">
      <c r="B93" s="1142" t="s">
        <v>1074</v>
      </c>
      <c r="C93" s="584"/>
      <c r="D93" s="584"/>
      <c r="E93" s="584"/>
      <c r="F93" s="584"/>
    </row>
    <row r="94" spans="2:6" ht="27.95" customHeight="1">
      <c r="B94" s="1142" t="s">
        <v>1075</v>
      </c>
      <c r="C94" s="584"/>
      <c r="D94" s="584"/>
      <c r="E94" s="584"/>
      <c r="F94" s="584"/>
    </row>
    <row r="95" spans="2:6" ht="19.5" customHeight="1">
      <c r="B95" s="584"/>
      <c r="C95" s="584"/>
      <c r="D95" s="584"/>
      <c r="E95" s="584"/>
      <c r="F95" s="584"/>
    </row>
    <row r="96" spans="2:6" ht="19.5" customHeight="1">
      <c r="B96" s="584"/>
      <c r="C96" s="584"/>
      <c r="D96" s="584"/>
      <c r="E96" s="584"/>
      <c r="F96" s="584"/>
    </row>
    <row r="97" spans="2:6" ht="19.5" customHeight="1">
      <c r="B97" s="584"/>
      <c r="C97" s="584"/>
      <c r="D97" s="584"/>
      <c r="E97" s="584"/>
      <c r="F97" s="584"/>
    </row>
    <row r="98" spans="2:6" ht="19.5" customHeight="1">
      <c r="B98" s="584"/>
      <c r="C98" s="584"/>
      <c r="D98" s="584"/>
      <c r="E98" s="584"/>
      <c r="F98" s="584"/>
    </row>
    <row r="99" spans="2:6" ht="19.5" customHeight="1">
      <c r="B99" s="584"/>
      <c r="C99" s="584"/>
      <c r="D99" s="584"/>
      <c r="E99" s="584"/>
      <c r="F99" s="584"/>
    </row>
    <row r="100" spans="2:6" ht="19.5" customHeight="1">
      <c r="B100" s="584"/>
      <c r="C100" s="584"/>
      <c r="D100" s="584"/>
      <c r="E100" s="584"/>
      <c r="F100" s="584"/>
    </row>
  </sheetData>
  <mergeCells count="1">
    <mergeCell ref="B3:C3"/>
  </mergeCells>
  <hyperlinks>
    <hyperlink ref="B5" location="Summary!B11" display="CORPORATE"/>
    <hyperlink ref="B9" location="Summary!B89" display="MARKETING &amp; SERVICES"/>
    <hyperlink ref="B8" location="Summary!B74" display="REFINING &amp; CHEMICALS"/>
    <hyperlink ref="B12" location="'Note on FS (p7)'!A1" display="Note on FS (p7)"/>
    <hyperlink ref="B13" location="'Financial highlights (p7)'!A1" display="Financial highlights (p7)"/>
    <hyperlink ref="B14" location="'Market environment (p7)'!A1" display="Market environment (p7)"/>
    <hyperlink ref="B15" location="'Op. High. by quarter (p8-9)'!A1" display="Op. High. by quarter (p8-9)"/>
    <hyperlink ref="B16" location="'Fin. High. by quarter (p8-9)'!A1" display="Fin. High. by quarter (p8-9)"/>
    <hyperlink ref="B17" location="'Market envir. price (p8-9)'!A1" display="Market envir. price (p8-9)"/>
    <hyperlink ref="B18" location="'Consol. stat. income (p10)'!A1" display="Consol. stat. income (p10)"/>
    <hyperlink ref="B19" location="'Sales (p11)'!A1" display="Sales (p11)"/>
    <hyperlink ref="B20" location="'Deprec. depl. &amp; impairme. (p11)'!A1" display="Deprec. depl. &amp; impairme. (p11)"/>
    <hyperlink ref="B21" location="'Equity in income (loss) (p11)'!A1" display="Equity in income (loss) (p11)"/>
    <hyperlink ref="B22" location="'Income taxes (p11)'!A1" display="Income taxes (p11)"/>
    <hyperlink ref="B23" location="'Adj. items op. income (p12)'!A1" display="Adj. items op. income (p12)"/>
    <hyperlink ref="B24" location="'Adj. items net income (p13)'!A1" display="Adj. items net income (p13)"/>
    <hyperlink ref="B25" location="'Cons. balance sheet in (p14)'!A1" display="Cons. balance sheet in (p14)"/>
    <hyperlink ref="B26" location="'Net tangible &amp; intangible (p15)'!A1" display="Net tangible &amp; intangible (p15)"/>
    <hyperlink ref="B27" location="'Property, plant &amp; equip. (p15)'!A1" display="Property, plant &amp; equip. (p15)"/>
    <hyperlink ref="B28" location="'Non-current assets (p15)'!A1" display="Non-current assets (p15)"/>
    <hyperlink ref="B29" location="'Non-current debt (p16)'!A1" display="Non-current debt (p16)"/>
    <hyperlink ref="B30" location="'Consolidated Equity (p17)'!A1" display="Consolidated Equity (p17)"/>
    <hyperlink ref="B31" location="'Net-debt-to-equity ratio (p18)'!A1" display="Net-debt-to-equity ratio (p18)"/>
    <hyperlink ref="B32" location="'Capital replacement cost (p18)'!A1" display="Capital replacement cost (p18)"/>
    <hyperlink ref="B33" location="'Capital employed (p18)'!A1" display="Capital employed (p18)"/>
    <hyperlink ref="B34" location="'ROACE by bs (p19)'!A1" display="ROACE by bs (p19)"/>
    <hyperlink ref="B35" location="'Conso stat. cash flows (p20)'!A1" display="Conso stat. cash flows (p20)"/>
    <hyperlink ref="B36" location="'Cash flows from op. (p20) '!A1" display="Cash flows from op. (p20) "/>
    <hyperlink ref="B37" location="'﻿Gross investments (p21)'!A1" display="Gross investments (p21)"/>
    <hyperlink ref="B38" location="'Organic investments by bs (p21)'!A1" display="Organic investments by bs (p21)"/>
    <hyperlink ref="B39" location="'Divestments by bs (p21)'!A1" display="Divestments by bs (p21)"/>
    <hyperlink ref="B40" location="'Share information (p23)'!A1" display="Share information (p23)"/>
    <hyperlink ref="B41" location="'Payroll (p24)'!A1" display="Payroll (p24)"/>
    <hyperlink ref="B42" location="'Number of employees (p24)'!A1" display="Number of employees (p24)"/>
    <hyperlink ref="B45" location="'Financial highlights (p27)'!A1" display="Financial highlights (p27)"/>
    <hyperlink ref="B46" location="'Production (p27)'!A1" display="Production (p27)"/>
    <hyperlink ref="B47" location="'Proved reserves (p27)'!A1" display="Proved reserves (p27)"/>
    <hyperlink ref="B48" location="'Key op. ratios Group (p28)'!A1" display="Key op. ratios Group (p28)"/>
    <hyperlink ref="B49" location="'Key op. ratios subs. (p28)'!A1" display="Key op. ratios subs. (p28)"/>
    <hyperlink ref="B50" location="'Comb. liquids gas prod. (p29'!A1" display="Comb. liquids gas prod. (p29"/>
    <hyperlink ref="B51" location="'Liquids prod. (p30)'!A1" display="Liquids prod. (p30)"/>
    <hyperlink ref="B52" location="'Gas prod. (p31)'!A1" display="Gas prod. (p31)"/>
    <hyperlink ref="B53" location="'Changes oil bitum. gas (p32-36)'!A1" display="Changes oil bitum. gas (p32-36)"/>
    <hyperlink ref="B54" location="'Changes oil res. (p37-40)'!A1" display="Changes oil res. (p37-40)"/>
    <hyperlink ref="B55" location="'Changes bitum. res. (p41)'!A1" display="Changes bitum. res. (p41)"/>
    <hyperlink ref="B56" location="'Changes gas res. (p42-45)'!A1" display="Changes gas res. (p42-45)"/>
    <hyperlink ref="B57" location="'Results op. activities (p46-47)'!A1" display="Results op. activities (p46-47)"/>
    <hyperlink ref="B58" location="'Cost incurred (p48)'!A1" display="Cost incurred (p48)"/>
    <hyperlink ref="B59" location="'Capitalized cost (p49-50)'!A1" display="Capitalized cost (p49-50)"/>
    <hyperlink ref="B60" location="'Net cash flows (p51-52)'!A1" display="Net cash flows (p51-52)"/>
    <hyperlink ref="B61" location="'Changes net cash flows (p53)'!A1" display="Changes net cash flows (p53)"/>
    <hyperlink ref="B62" location="'Oil Gas Acreage (p54)'!A1" display="Oil Gas Acreage (p54)"/>
    <hyperlink ref="B63" location="'Nb. prod. wells (p55)'!A1" display="Nb. prod. wells (p55)"/>
    <hyperlink ref="B64" location="'Nb.prod.dry.wells drilled (p56)'!A1" display="Nb.prod.dry.wells drilled (p56)"/>
    <hyperlink ref="B65" location="'Explo.Devpt.wells (p57)'!A1" display="Explo.Devpt.wells (p57)"/>
    <hyperlink ref="B66" location="'Interests pipelines (p58)'!Print_Area" display="Interests pipelines (p58)"/>
    <hyperlink ref="B69" location="'﻿Financial highlights (p93)'!A1" display="﻿Financial highlights (p93)"/>
    <hyperlink ref="B70" location="'Power gen. facilities (p93)'!A1" display="Power gen. facilities (p93)"/>
    <hyperlink ref="B71" location="'LNG sales (p94) '!A1" display="LNG sales (p94) "/>
    <hyperlink ref="B72" location="'Pipeline gas sales (p98)'!A1" display="Pipeline gas sales (p98)"/>
    <hyperlink ref="B75" location="'Financial highlights (p103)'!Print_Area" display="Financial highlights (p103)"/>
    <hyperlink ref="B76" location="'Operational highlights (p103)'!A1" display="Operational highlights (p103)"/>
    <hyperlink ref="B77" location="'Refinery capacity (p107)'!A1" display="Refinery capacity (p107)"/>
    <hyperlink ref="B78" location="'Distillation capacity (p107)'!A1" display="Distillation capacity (p107)"/>
    <hyperlink ref="B79" location="'Refinery throughput (p108)'!A1" display="Refinery throughput (p108)"/>
    <hyperlink ref="B80" location="'Utiliz. rate feedstocks (p108)'!A1" display="Utiliz. rate feedstocks (p108)"/>
    <hyperlink ref="B81" location="'Utiliz. rate crude (p108)'!A1" display="Utiliz. rate crude (p108)"/>
    <hyperlink ref="B82" location="'Production levels (p108)'!A1" display="Production levels (p108)"/>
    <hyperlink ref="B83" location="'Main prod. capacities (p109)'!A1" display="Main prod. capacities (p109)"/>
    <hyperlink ref="B84" location="'Sales by geo. area (p109)'!A1" display="Sales by geo. area (p109)"/>
    <hyperlink ref="B85" location="'Sales by activity (p 110)'!A1" display="Sales by activity (p 110)"/>
    <hyperlink ref="B86" location="'Sales by geo. area (p110)'!A1" display="Sales by geo. area (p110)"/>
    <hyperlink ref="B87" location="'Sales by activity (p110)'!A1" display="Sales by activity (p110)"/>
    <hyperlink ref="B90" location="'﻿Financial highlights (p113)'!A1" display="﻿Financial highlights (p113)"/>
    <hyperlink ref="B91" location="'Operational highlights (p113)'!A1" display="Operational highlights (p113)"/>
    <hyperlink ref="B92" location="'Petrol sales by area (p117)'!A1" display="Petrol sales by area (p117)"/>
    <hyperlink ref="B93" location="'Petrol. sales by product (p117)'!A1" display="Petrol. sales by product (p117)"/>
    <hyperlink ref="B94" location="'Service-Stations (p118)'!A1" display="Service-Stations (p118)"/>
    <hyperlink ref="B6" location="Summary!B44" display="UPSTREAM"/>
    <hyperlink ref="B7" location="Summary!B68" display="GAS, RENEWABLE &amp; POWER"/>
  </hyperlinks>
  <pageMargins left="0.25" right="0.25" top="0.75" bottom="0.75" header="0.3" footer="0.3"/>
  <pageSetup paperSize="9" scale="7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0">
    <tabColor rgb="FF0076BD"/>
    <pageSetUpPr fitToPage="1"/>
  </sheetPr>
  <dimension ref="B2:M15"/>
  <sheetViews>
    <sheetView showGridLines="0" view="pageBreakPreview" zoomScaleNormal="130" zoomScaleSheetLayoutView="100" zoomScalePageLayoutView="130" workbookViewId="0">
      <selection activeCell="H17" sqref="H17"/>
    </sheetView>
  </sheetViews>
  <sheetFormatPr defaultColWidth="11" defaultRowHeight="20.100000000000001" customHeight="1"/>
  <cols>
    <col min="1" max="1" width="5.5" style="451" customWidth="1"/>
    <col min="2" max="2" width="26.125" style="451" customWidth="1"/>
    <col min="3" max="11" width="10.5" style="451" customWidth="1"/>
    <col min="12" max="12" width="10.375" style="451" customWidth="1"/>
    <col min="13" max="13" width="14.625" style="451" hidden="1" customWidth="1"/>
    <col min="14" max="14" width="10.5" style="451" customWidth="1"/>
    <col min="15" max="16384" width="11" style="451"/>
  </cols>
  <sheetData>
    <row r="2" spans="2:12" ht="38.25" customHeight="1">
      <c r="B2" s="1169" t="str">
        <f>UPPER("Depreciation, depletion &amp; impairment of tangible assets and mineral interests by business segment")</f>
        <v>DEPRECIATION, DEPLETION &amp; IMPAIRMENT OF TANGIBLE ASSETS AND MINERAL INTERESTS BY BUSINESS SEGMENT</v>
      </c>
      <c r="C2" s="1169"/>
      <c r="D2" s="1169"/>
      <c r="E2" s="1169"/>
      <c r="F2" s="1169"/>
      <c r="G2" s="1169"/>
      <c r="H2" s="512"/>
      <c r="I2" s="512"/>
      <c r="J2" s="512"/>
    </row>
    <row r="3" spans="2:12" ht="20.100000000000001" customHeight="1">
      <c r="B3" s="114"/>
      <c r="C3" s="114"/>
      <c r="D3" s="114"/>
      <c r="E3" s="114"/>
    </row>
    <row r="4" spans="2:12" ht="20.100000000000001" customHeight="1">
      <c r="B4" s="21" t="s">
        <v>45</v>
      </c>
    </row>
    <row r="5" spans="2:12" ht="20.100000000000001" customHeight="1">
      <c r="B5" s="22" t="s">
        <v>13</v>
      </c>
      <c r="C5" s="333">
        <v>2017</v>
      </c>
      <c r="D5" s="354">
        <v>2016</v>
      </c>
      <c r="E5" s="354">
        <v>2015</v>
      </c>
      <c r="F5" s="333">
        <v>2014</v>
      </c>
      <c r="G5" s="333">
        <v>2013</v>
      </c>
    </row>
    <row r="6" spans="2:12" ht="20.100000000000001" customHeight="1">
      <c r="B6" s="509" t="s">
        <v>318</v>
      </c>
      <c r="C6" s="186">
        <v>-13850</v>
      </c>
      <c r="D6" s="122">
        <v>-11583</v>
      </c>
      <c r="E6" s="122">
        <v>-15660</v>
      </c>
      <c r="F6" s="122">
        <v>-15938</v>
      </c>
      <c r="G6" s="122">
        <v>-9484</v>
      </c>
      <c r="L6" s="303"/>
    </row>
    <row r="7" spans="2:12" ht="20.100000000000001" customHeight="1">
      <c r="B7" s="509" t="s">
        <v>317</v>
      </c>
      <c r="C7" s="376">
        <v>-482</v>
      </c>
      <c r="D7" s="351">
        <v>-301</v>
      </c>
      <c r="E7" s="351">
        <v>-307</v>
      </c>
      <c r="F7" s="351"/>
      <c r="G7" s="351"/>
      <c r="L7" s="303"/>
    </row>
    <row r="8" spans="2:12" ht="20.100000000000001" customHeight="1">
      <c r="B8" s="363" t="s">
        <v>146</v>
      </c>
      <c r="C8" s="186">
        <v>-1074</v>
      </c>
      <c r="D8" s="122">
        <v>-1002</v>
      </c>
      <c r="E8" s="122">
        <v>-1092</v>
      </c>
      <c r="F8" s="122">
        <v>-2901</v>
      </c>
      <c r="G8" s="122">
        <v>-1736</v>
      </c>
    </row>
    <row r="9" spans="2:12" ht="20.100000000000001" customHeight="1">
      <c r="B9" s="363" t="s">
        <v>147</v>
      </c>
      <c r="C9" s="186">
        <v>-657</v>
      </c>
      <c r="D9" s="122">
        <v>-600</v>
      </c>
      <c r="E9" s="122">
        <v>-634</v>
      </c>
      <c r="F9" s="122">
        <v>-781</v>
      </c>
      <c r="G9" s="122">
        <v>-733</v>
      </c>
    </row>
    <row r="10" spans="2:12" ht="20.100000000000001" customHeight="1">
      <c r="B10" s="365" t="s">
        <v>35</v>
      </c>
      <c r="C10" s="188">
        <v>-40</v>
      </c>
      <c r="D10" s="123">
        <v>-37</v>
      </c>
      <c r="E10" s="123">
        <v>-27</v>
      </c>
      <c r="F10" s="123">
        <v>-36</v>
      </c>
      <c r="G10" s="123">
        <v>-41</v>
      </c>
    </row>
    <row r="11" spans="2:12" ht="20.100000000000001" customHeight="1">
      <c r="B11" s="23" t="s">
        <v>36</v>
      </c>
      <c r="C11" s="192">
        <v>-16103</v>
      </c>
      <c r="D11" s="429">
        <v>-13523</v>
      </c>
      <c r="E11" s="429">
        <v>-17720</v>
      </c>
      <c r="F11" s="429">
        <v>-19656</v>
      </c>
      <c r="G11" s="429">
        <v>-11994</v>
      </c>
    </row>
    <row r="12" spans="2:12" ht="14.1" customHeight="1">
      <c r="B12" s="511"/>
      <c r="C12" s="303"/>
      <c r="D12" s="303"/>
      <c r="E12" s="303"/>
      <c r="F12" s="303"/>
      <c r="G12" s="303"/>
      <c r="H12" s="303"/>
      <c r="I12" s="303"/>
      <c r="J12" s="303"/>
    </row>
    <row r="13" spans="2:12" ht="14.1" customHeight="1">
      <c r="B13" s="450"/>
      <c r="C13" s="450"/>
      <c r="D13" s="450"/>
    </row>
    <row r="15" spans="2:12" ht="20.100000000000001" customHeight="1">
      <c r="F15" s="510" t="s">
        <v>320</v>
      </c>
      <c r="G15" s="510" t="s">
        <v>320</v>
      </c>
    </row>
  </sheetData>
  <mergeCells count="1">
    <mergeCell ref="B2:G2"/>
  </mergeCells>
  <pageMargins left="0.75000000000000011" right="0.75000000000000011" top="1" bottom="1" header="0.5" footer="0.5"/>
  <pageSetup paperSize="9" scale="9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1">
    <tabColor rgb="FF0076BD"/>
    <pageSetUpPr fitToPage="1"/>
  </sheetPr>
  <dimension ref="B2:M12"/>
  <sheetViews>
    <sheetView showGridLines="0" view="pageBreakPreview" zoomScaleNormal="115" zoomScaleSheetLayoutView="100" zoomScalePageLayoutView="115" workbookViewId="0">
      <selection activeCell="H17" sqref="H17"/>
    </sheetView>
  </sheetViews>
  <sheetFormatPr defaultColWidth="11" defaultRowHeight="20.100000000000001" customHeight="1"/>
  <cols>
    <col min="1" max="1" width="5.5" style="451" customWidth="1"/>
    <col min="2" max="2" width="26.125" style="451" customWidth="1"/>
    <col min="3" max="11" width="10.5" style="451" customWidth="1"/>
    <col min="12" max="12" width="10.375" style="451" customWidth="1"/>
    <col min="13" max="13" width="10.5" style="451" hidden="1" customWidth="1"/>
    <col min="14" max="16384" width="11" style="451"/>
  </cols>
  <sheetData>
    <row r="2" spans="2:9" ht="20.100000000000001" customHeight="1">
      <c r="B2" s="1156" t="str">
        <f>UPPER("Equity in income/(loss) of affiliates by business segment")</f>
        <v>EQUITY IN INCOME/(LOSS) OF AFFILIATES BY BUSINESS SEGMENT</v>
      </c>
      <c r="C2" s="1156"/>
      <c r="D2" s="1156"/>
      <c r="E2" s="1156"/>
      <c r="F2" s="1156"/>
      <c r="G2" s="1156"/>
    </row>
    <row r="3" spans="2:9" ht="20.100000000000001" customHeight="1">
      <c r="B3" s="449"/>
      <c r="C3" s="449"/>
      <c r="D3" s="449"/>
    </row>
    <row r="4" spans="2:9" ht="20.100000000000001" customHeight="1">
      <c r="B4" s="21" t="s">
        <v>45</v>
      </c>
    </row>
    <row r="5" spans="2:9" ht="20.100000000000001" customHeight="1">
      <c r="B5" s="22" t="s">
        <v>13</v>
      </c>
      <c r="C5" s="354">
        <v>2017</v>
      </c>
      <c r="D5" s="354">
        <v>2016</v>
      </c>
      <c r="E5" s="354">
        <v>2015</v>
      </c>
      <c r="F5" s="354">
        <v>2014</v>
      </c>
      <c r="G5" s="354">
        <v>2013</v>
      </c>
    </row>
    <row r="6" spans="2:9" ht="20.100000000000001" customHeight="1">
      <c r="B6" s="509" t="s">
        <v>318</v>
      </c>
      <c r="C6" s="186">
        <v>1067</v>
      </c>
      <c r="D6" s="122">
        <v>1030</v>
      </c>
      <c r="E6" s="122">
        <v>1658</v>
      </c>
      <c r="F6" s="122">
        <v>2509</v>
      </c>
      <c r="G6" s="122">
        <v>2889</v>
      </c>
      <c r="I6" s="303"/>
    </row>
    <row r="7" spans="2:9" ht="20.100000000000001" customHeight="1">
      <c r="B7" s="509" t="s">
        <v>317</v>
      </c>
      <c r="C7" s="376">
        <v>13</v>
      </c>
      <c r="D7" s="351">
        <v>125</v>
      </c>
      <c r="E7" s="351">
        <v>113</v>
      </c>
      <c r="F7" s="351"/>
      <c r="G7" s="351"/>
      <c r="I7" s="303"/>
    </row>
    <row r="8" spans="2:9" ht="20.100000000000001" customHeight="1">
      <c r="B8" s="363" t="s">
        <v>146</v>
      </c>
      <c r="C8" s="186">
        <v>778</v>
      </c>
      <c r="D8" s="122">
        <v>933</v>
      </c>
      <c r="E8" s="122">
        <v>550</v>
      </c>
      <c r="F8" s="122">
        <v>315</v>
      </c>
      <c r="G8" s="122">
        <v>500</v>
      </c>
    </row>
    <row r="9" spans="2:9" ht="20.100000000000001" customHeight="1">
      <c r="B9" s="363" t="s">
        <v>147</v>
      </c>
      <c r="C9" s="186">
        <v>157</v>
      </c>
      <c r="D9" s="122">
        <v>126</v>
      </c>
      <c r="E9" s="122">
        <v>39</v>
      </c>
      <c r="F9" s="122">
        <v>-162</v>
      </c>
      <c r="G9" s="122">
        <v>26</v>
      </c>
    </row>
    <row r="10" spans="2:9" ht="20.100000000000001" customHeight="1">
      <c r="B10" s="365" t="s">
        <v>35</v>
      </c>
      <c r="C10" s="188" t="s">
        <v>14</v>
      </c>
      <c r="D10" s="123" t="s">
        <v>14</v>
      </c>
      <c r="E10" s="123">
        <v>1</v>
      </c>
      <c r="F10" s="123" t="s">
        <v>14</v>
      </c>
      <c r="G10" s="123" t="s">
        <v>14</v>
      </c>
    </row>
    <row r="11" spans="2:9" ht="20.100000000000001" customHeight="1">
      <c r="B11" s="20" t="s">
        <v>36</v>
      </c>
      <c r="C11" s="35">
        <v>2015</v>
      </c>
      <c r="D11" s="429">
        <v>2214</v>
      </c>
      <c r="E11" s="429">
        <v>2361</v>
      </c>
      <c r="F11" s="429">
        <v>2662</v>
      </c>
      <c r="G11" s="429">
        <v>3415</v>
      </c>
    </row>
    <row r="12" spans="2:9" ht="14.1" customHeight="1">
      <c r="B12" s="511"/>
      <c r="C12" s="303"/>
      <c r="D12" s="303"/>
      <c r="E12" s="303"/>
      <c r="F12" s="303"/>
      <c r="G12" s="303"/>
    </row>
  </sheetData>
  <mergeCells count="1">
    <mergeCell ref="B2:G2"/>
  </mergeCells>
  <pageMargins left="0.75" right="0.75" top="1" bottom="1" header="0.5" footer="0.5"/>
  <pageSetup paperSize="9" scale="94"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2">
    <tabColor rgb="FF0076BD"/>
    <pageSetUpPr fitToPage="1"/>
  </sheetPr>
  <dimension ref="B2:M10"/>
  <sheetViews>
    <sheetView showGridLines="0" view="pageBreakPreview" zoomScaleNormal="115" zoomScaleSheetLayoutView="100" zoomScalePageLayoutView="115" workbookViewId="0">
      <selection activeCell="H17" sqref="H17"/>
    </sheetView>
  </sheetViews>
  <sheetFormatPr defaultColWidth="5.5" defaultRowHeight="20.100000000000001" customHeight="1"/>
  <cols>
    <col min="1" max="1" width="5.5" style="451"/>
    <col min="2" max="2" width="26.125" style="451" customWidth="1"/>
    <col min="3" max="12" width="10.5" style="451" customWidth="1"/>
    <col min="13" max="13" width="10.375" style="451" customWidth="1"/>
    <col min="14" max="14" width="0" style="451" hidden="1" customWidth="1"/>
    <col min="15" max="16384" width="5.5" style="451"/>
  </cols>
  <sheetData>
    <row r="2" spans="2:13" ht="20.100000000000001" customHeight="1">
      <c r="B2" s="1156" t="s">
        <v>172</v>
      </c>
      <c r="C2" s="1156"/>
      <c r="D2" s="1156"/>
      <c r="E2" s="1156"/>
      <c r="F2" s="1156"/>
      <c r="G2" s="1156"/>
      <c r="H2" s="1156"/>
      <c r="I2" s="1156"/>
      <c r="J2" s="1156"/>
      <c r="K2" s="1156"/>
      <c r="L2" s="1156"/>
      <c r="M2" s="1156"/>
    </row>
    <row r="3" spans="2:13" ht="20.100000000000001" customHeight="1">
      <c r="B3" s="449"/>
      <c r="C3" s="449"/>
      <c r="D3" s="449"/>
    </row>
    <row r="4" spans="2:13" ht="20.100000000000001" customHeight="1">
      <c r="B4" s="3"/>
      <c r="C4" s="3"/>
      <c r="D4" s="1159"/>
      <c r="E4" s="1159"/>
      <c r="F4" s="1159"/>
      <c r="G4" s="1159"/>
      <c r="H4" s="1159"/>
      <c r="I4" s="1159"/>
      <c r="J4" s="1159"/>
      <c r="K4" s="1159"/>
      <c r="L4" s="1159"/>
    </row>
    <row r="5" spans="2:13" ht="20.100000000000001" customHeight="1">
      <c r="B5" s="22" t="s">
        <v>13</v>
      </c>
      <c r="C5" s="362">
        <v>2017</v>
      </c>
      <c r="D5" s="362">
        <v>2016</v>
      </c>
      <c r="E5" s="362">
        <v>2015</v>
      </c>
      <c r="F5" s="362">
        <v>2014</v>
      </c>
      <c r="G5" s="362">
        <v>2013</v>
      </c>
    </row>
    <row r="6" spans="2:13" ht="20.100000000000001" customHeight="1">
      <c r="B6" s="363" t="s">
        <v>223</v>
      </c>
      <c r="C6" s="186">
        <v>-3416</v>
      </c>
      <c r="D6" s="122">
        <v>-2911</v>
      </c>
      <c r="E6" s="122">
        <v>-4552</v>
      </c>
      <c r="F6" s="122">
        <v>-10904</v>
      </c>
      <c r="G6" s="26">
        <v>-13607</v>
      </c>
    </row>
    <row r="7" spans="2:13" ht="20.100000000000001" customHeight="1">
      <c r="B7" s="365" t="s">
        <v>46</v>
      </c>
      <c r="C7" s="193">
        <v>387</v>
      </c>
      <c r="D7" s="160">
        <v>1941</v>
      </c>
      <c r="E7" s="160">
        <v>2899</v>
      </c>
      <c r="F7" s="160">
        <v>2290</v>
      </c>
      <c r="G7" s="29">
        <v>-1160</v>
      </c>
    </row>
    <row r="8" spans="2:13" ht="20.100000000000001" customHeight="1">
      <c r="B8" s="101" t="s">
        <v>31</v>
      </c>
      <c r="C8" s="194">
        <v>-3029</v>
      </c>
      <c r="D8" s="159">
        <v>-970</v>
      </c>
      <c r="E8" s="159">
        <v>-1653</v>
      </c>
      <c r="F8" s="159">
        <v>-8614</v>
      </c>
      <c r="G8" s="334">
        <v>-14767</v>
      </c>
    </row>
    <row r="10" spans="2:13" ht="20.100000000000001" customHeight="1">
      <c r="B10" s="1161"/>
      <c r="C10" s="1161"/>
      <c r="D10" s="1161"/>
      <c r="E10" s="1161"/>
      <c r="F10" s="1161"/>
      <c r="G10" s="1161"/>
      <c r="H10" s="1161"/>
      <c r="I10" s="1161"/>
      <c r="J10" s="1161"/>
      <c r="K10" s="1161"/>
      <c r="L10" s="1161"/>
      <c r="M10" s="1161"/>
    </row>
  </sheetData>
  <mergeCells count="3">
    <mergeCell ref="B2:M2"/>
    <mergeCell ref="B10:M10"/>
    <mergeCell ref="D4:L4"/>
  </mergeCells>
  <pageMargins left="0.74803149606299213" right="0.74803149606299213" top="0.98425196850393704" bottom="0.98425196850393704" header="0.51181102362204722" footer="0.51181102362204722"/>
  <pageSetup paperSize="9" scale="8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3">
    <tabColor rgb="FF0076BD"/>
    <pageSetUpPr fitToPage="1"/>
  </sheetPr>
  <dimension ref="B2:P39"/>
  <sheetViews>
    <sheetView showGridLines="0" view="pageBreakPreview" zoomScaleSheetLayoutView="100" workbookViewId="0">
      <selection activeCell="H17" sqref="H17"/>
    </sheetView>
  </sheetViews>
  <sheetFormatPr defaultColWidth="11" defaultRowHeight="20.100000000000001" customHeight="1"/>
  <cols>
    <col min="1" max="1" width="5.5" style="451" customWidth="1"/>
    <col min="2" max="2" width="26.125" style="451" customWidth="1"/>
    <col min="3" max="8" width="13.5" style="451" customWidth="1"/>
    <col min="9" max="13" width="11" style="451"/>
    <col min="14" max="14" width="10.375" style="451" customWidth="1"/>
    <col min="15" max="15" width="0" style="451" hidden="1" customWidth="1"/>
    <col min="16" max="16384" width="11" style="451"/>
  </cols>
  <sheetData>
    <row r="2" spans="2:16" ht="20.100000000000001" customHeight="1">
      <c r="B2" s="1156" t="str">
        <f>UPPER("Adjustment items to operating income by business segment")</f>
        <v>ADJUSTMENT ITEMS TO OPERATING INCOME BY BUSINESS SEGMENT</v>
      </c>
      <c r="C2" s="1156"/>
      <c r="D2" s="1156"/>
      <c r="E2" s="1156"/>
      <c r="F2" s="1156"/>
      <c r="G2" s="1156"/>
      <c r="H2" s="1156"/>
    </row>
    <row r="4" spans="2:16" s="4" customFormat="1" ht="36" customHeight="1">
      <c r="B4" s="22" t="s">
        <v>13</v>
      </c>
      <c r="C4" s="514" t="s">
        <v>318</v>
      </c>
      <c r="D4" s="514" t="s">
        <v>317</v>
      </c>
      <c r="E4" s="30" t="s">
        <v>11</v>
      </c>
      <c r="F4" s="30" t="s">
        <v>12</v>
      </c>
      <c r="G4" s="30" t="s">
        <v>35</v>
      </c>
      <c r="H4" s="30" t="s">
        <v>36</v>
      </c>
      <c r="J4" s="303"/>
      <c r="P4" s="303"/>
    </row>
    <row r="5" spans="2:16" ht="20.100000000000001" customHeight="1">
      <c r="B5" s="15" t="s">
        <v>302</v>
      </c>
      <c r="C5" s="24"/>
      <c r="D5" s="24"/>
      <c r="E5" s="24"/>
      <c r="F5" s="24"/>
      <c r="G5" s="24"/>
      <c r="H5" s="31"/>
    </row>
    <row r="6" spans="2:16" ht="20.100000000000001" customHeight="1">
      <c r="B6" s="363" t="s">
        <v>48</v>
      </c>
      <c r="C6" s="24" t="s">
        <v>14</v>
      </c>
      <c r="D6" s="25" t="s">
        <v>14</v>
      </c>
      <c r="E6" s="24">
        <v>344</v>
      </c>
      <c r="F6" s="25">
        <v>13</v>
      </c>
      <c r="G6" s="25" t="s">
        <v>14</v>
      </c>
      <c r="H6" s="32">
        <v>357</v>
      </c>
    </row>
    <row r="7" spans="2:16" ht="20.100000000000001" customHeight="1">
      <c r="B7" s="363" t="s">
        <v>49</v>
      </c>
      <c r="C7" s="33" t="s">
        <v>14</v>
      </c>
      <c r="D7" s="25">
        <v>-20</v>
      </c>
      <c r="E7" s="34" t="s">
        <v>14</v>
      </c>
      <c r="F7" s="25" t="s">
        <v>14</v>
      </c>
      <c r="G7" s="25" t="s">
        <v>14</v>
      </c>
      <c r="H7" s="32">
        <v>-20</v>
      </c>
    </row>
    <row r="8" spans="2:16" ht="20.100000000000001" customHeight="1">
      <c r="B8" s="363" t="s">
        <v>50</v>
      </c>
      <c r="C8" s="33">
        <v>-42</v>
      </c>
      <c r="D8" s="25" t="s">
        <v>14</v>
      </c>
      <c r="E8" s="24">
        <v>-4</v>
      </c>
      <c r="F8" s="25">
        <v>-3</v>
      </c>
      <c r="G8" s="25" t="s">
        <v>14</v>
      </c>
      <c r="H8" s="32">
        <v>-49</v>
      </c>
    </row>
    <row r="9" spans="2:16" ht="20.100000000000001" customHeight="1">
      <c r="B9" s="363" t="s">
        <v>244</v>
      </c>
      <c r="C9" s="33">
        <v>-4308</v>
      </c>
      <c r="D9" s="25">
        <v>-291</v>
      </c>
      <c r="E9" s="24">
        <v>-53</v>
      </c>
      <c r="F9" s="25">
        <v>-10</v>
      </c>
      <c r="G9" s="25" t="s">
        <v>14</v>
      </c>
      <c r="H9" s="32">
        <v>-4662</v>
      </c>
    </row>
    <row r="10" spans="2:16" ht="20.100000000000001" customHeight="1">
      <c r="B10" s="365" t="s">
        <v>87</v>
      </c>
      <c r="C10" s="27">
        <v>-77</v>
      </c>
      <c r="D10" s="28">
        <v>-389</v>
      </c>
      <c r="E10" s="27">
        <v>-173</v>
      </c>
      <c r="F10" s="28">
        <v>-21</v>
      </c>
      <c r="G10" s="28">
        <v>-64</v>
      </c>
      <c r="H10" s="32">
        <v>-724</v>
      </c>
    </row>
    <row r="11" spans="2:16" ht="20.100000000000001" customHeight="1">
      <c r="B11" s="20" t="s">
        <v>36</v>
      </c>
      <c r="C11" s="347">
        <v>-4427</v>
      </c>
      <c r="D11" s="347">
        <v>-700</v>
      </c>
      <c r="E11" s="347">
        <v>114</v>
      </c>
      <c r="F11" s="347">
        <v>-21</v>
      </c>
      <c r="G11" s="347">
        <v>-64</v>
      </c>
      <c r="H11" s="35">
        <v>-5098</v>
      </c>
    </row>
    <row r="12" spans="2:16" ht="20.100000000000001" customHeight="1">
      <c r="B12" s="15" t="s">
        <v>239</v>
      </c>
      <c r="C12" s="351"/>
      <c r="D12" s="351"/>
      <c r="E12" s="351"/>
      <c r="F12" s="351"/>
      <c r="G12" s="351"/>
      <c r="H12" s="250"/>
    </row>
    <row r="13" spans="2:16" ht="20.100000000000001" customHeight="1">
      <c r="B13" s="363" t="s">
        <v>48</v>
      </c>
      <c r="C13" s="351" t="s">
        <v>14</v>
      </c>
      <c r="D13" s="122" t="s">
        <v>14</v>
      </c>
      <c r="E13" s="351">
        <v>695</v>
      </c>
      <c r="F13" s="122">
        <v>-43</v>
      </c>
      <c r="G13" s="122" t="s">
        <v>14</v>
      </c>
      <c r="H13" s="251">
        <v>652</v>
      </c>
    </row>
    <row r="14" spans="2:16" ht="20.100000000000001" customHeight="1">
      <c r="B14" s="363" t="s">
        <v>49</v>
      </c>
      <c r="C14" s="351" t="s">
        <v>14</v>
      </c>
      <c r="D14" s="122">
        <v>-4</v>
      </c>
      <c r="E14" s="160" t="s">
        <v>14</v>
      </c>
      <c r="F14" s="122" t="s">
        <v>14</v>
      </c>
      <c r="G14" s="122" t="s">
        <v>14</v>
      </c>
      <c r="H14" s="251">
        <v>-4</v>
      </c>
    </row>
    <row r="15" spans="2:16" ht="20.100000000000001" customHeight="1">
      <c r="B15" s="363" t="s">
        <v>50</v>
      </c>
      <c r="C15" s="252">
        <v>-19</v>
      </c>
      <c r="D15" s="122">
        <v>-18</v>
      </c>
      <c r="E15" s="351" t="s">
        <v>14</v>
      </c>
      <c r="F15" s="122" t="s">
        <v>14</v>
      </c>
      <c r="G15" s="122" t="s">
        <v>14</v>
      </c>
      <c r="H15" s="251">
        <v>-37</v>
      </c>
    </row>
    <row r="16" spans="2:16" ht="20.100000000000001" customHeight="1">
      <c r="B16" s="363" t="s">
        <v>244</v>
      </c>
      <c r="C16" s="252">
        <v>-2089</v>
      </c>
      <c r="D16" s="122">
        <v>-139</v>
      </c>
      <c r="E16" s="351" t="s">
        <v>14</v>
      </c>
      <c r="F16" s="122">
        <v>-1</v>
      </c>
      <c r="G16" s="122" t="s">
        <v>14</v>
      </c>
      <c r="H16" s="251">
        <v>-2229</v>
      </c>
    </row>
    <row r="17" spans="2:8" ht="20.100000000000001" customHeight="1">
      <c r="B17" s="36" t="s">
        <v>87</v>
      </c>
      <c r="C17" s="126">
        <v>-672</v>
      </c>
      <c r="D17" s="123">
        <v>-288</v>
      </c>
      <c r="E17" s="126">
        <v>-70</v>
      </c>
      <c r="F17" s="123">
        <v>-93</v>
      </c>
      <c r="G17" s="123" t="s">
        <v>14</v>
      </c>
      <c r="H17" s="251">
        <v>-1123</v>
      </c>
    </row>
    <row r="18" spans="2:8" ht="20.100000000000001" customHeight="1">
      <c r="B18" s="431" t="s">
        <v>36</v>
      </c>
      <c r="C18" s="432">
        <v>-2780</v>
      </c>
      <c r="D18" s="344">
        <v>-449</v>
      </c>
      <c r="E18" s="344">
        <v>625</v>
      </c>
      <c r="F18" s="344">
        <v>-137</v>
      </c>
      <c r="G18" s="344" t="s">
        <v>14</v>
      </c>
      <c r="H18" s="434">
        <v>-2741</v>
      </c>
    </row>
    <row r="19" spans="2:8" ht="20.100000000000001" customHeight="1">
      <c r="B19" s="15" t="s">
        <v>224</v>
      </c>
      <c r="C19" s="351"/>
      <c r="D19" s="351"/>
      <c r="E19" s="351"/>
      <c r="F19" s="351"/>
      <c r="G19" s="351"/>
      <c r="H19" s="250"/>
    </row>
    <row r="20" spans="2:8" ht="20.100000000000001" customHeight="1">
      <c r="B20" s="363" t="s">
        <v>48</v>
      </c>
      <c r="C20" s="351" t="s">
        <v>14</v>
      </c>
      <c r="D20" s="351" t="s">
        <v>14</v>
      </c>
      <c r="E20" s="351">
        <v>-859</v>
      </c>
      <c r="F20" s="122">
        <v>-254</v>
      </c>
      <c r="G20" s="122" t="s">
        <v>14</v>
      </c>
      <c r="H20" s="251">
        <v>-1113</v>
      </c>
    </row>
    <row r="21" spans="2:8" ht="20.100000000000001" customHeight="1">
      <c r="B21" s="363" t="s">
        <v>49</v>
      </c>
      <c r="C21" s="351" t="s">
        <v>14</v>
      </c>
      <c r="D21" s="122">
        <v>-16</v>
      </c>
      <c r="E21" s="160" t="s">
        <v>14</v>
      </c>
      <c r="F21" s="122" t="s">
        <v>14</v>
      </c>
      <c r="G21" s="122" t="s">
        <v>14</v>
      </c>
      <c r="H21" s="251">
        <v>-16</v>
      </c>
    </row>
    <row r="22" spans="2:8" ht="20.100000000000001" customHeight="1">
      <c r="B22" s="363" t="s">
        <v>50</v>
      </c>
      <c r="C22" s="252">
        <v>-43</v>
      </c>
      <c r="D22" s="351" t="s">
        <v>14</v>
      </c>
      <c r="E22" s="351" t="s">
        <v>14</v>
      </c>
      <c r="F22" s="122">
        <v>-5</v>
      </c>
      <c r="G22" s="122" t="s">
        <v>14</v>
      </c>
      <c r="H22" s="251">
        <v>-48</v>
      </c>
    </row>
    <row r="23" spans="2:8" ht="20.100000000000001" customHeight="1">
      <c r="B23" s="363" t="s">
        <v>244</v>
      </c>
      <c r="C23" s="252">
        <v>-6591</v>
      </c>
      <c r="D23" s="122">
        <v>-192</v>
      </c>
      <c r="E23" s="351">
        <v>-70</v>
      </c>
      <c r="F23" s="122">
        <v>-24</v>
      </c>
      <c r="G23" s="122" t="s">
        <v>14</v>
      </c>
      <c r="H23" s="251">
        <v>-6877</v>
      </c>
    </row>
    <row r="24" spans="2:8" ht="20.100000000000001" customHeight="1">
      <c r="B24" s="36" t="s">
        <v>87</v>
      </c>
      <c r="C24" s="126">
        <v>-516</v>
      </c>
      <c r="D24" s="123">
        <v>-541</v>
      </c>
      <c r="E24" s="126">
        <v>-176</v>
      </c>
      <c r="F24" s="123">
        <v>-24</v>
      </c>
      <c r="G24" s="123" t="s">
        <v>14</v>
      </c>
      <c r="H24" s="251">
        <v>-1257</v>
      </c>
    </row>
    <row r="25" spans="2:8" ht="20.100000000000001" customHeight="1">
      <c r="B25" s="431" t="s">
        <v>36</v>
      </c>
      <c r="C25" s="432">
        <v>-7150</v>
      </c>
      <c r="D25" s="344">
        <v>-749</v>
      </c>
      <c r="E25" s="344">
        <v>-1105</v>
      </c>
      <c r="F25" s="344">
        <v>-307</v>
      </c>
      <c r="G25" s="344" t="s">
        <v>14</v>
      </c>
      <c r="H25" s="434">
        <v>-9311</v>
      </c>
    </row>
    <row r="26" spans="2:8" ht="20.100000000000001" customHeight="1">
      <c r="B26" s="15" t="s">
        <v>162</v>
      </c>
      <c r="C26" s="351"/>
      <c r="D26" s="351"/>
      <c r="E26" s="351"/>
      <c r="F26" s="351"/>
      <c r="G26" s="351"/>
      <c r="H26" s="250"/>
    </row>
    <row r="27" spans="2:8" ht="20.100000000000001" customHeight="1">
      <c r="B27" s="363" t="s">
        <v>48</v>
      </c>
      <c r="C27" s="351" t="s">
        <v>14</v>
      </c>
      <c r="D27" s="351"/>
      <c r="E27" s="351">
        <v>-2944</v>
      </c>
      <c r="F27" s="122">
        <v>-525</v>
      </c>
      <c r="G27" s="122" t="s">
        <v>14</v>
      </c>
      <c r="H27" s="251">
        <v>-3469</v>
      </c>
    </row>
    <row r="28" spans="2:8" ht="20.100000000000001" customHeight="1">
      <c r="B28" s="363" t="s">
        <v>49</v>
      </c>
      <c r="C28" s="351">
        <v>31</v>
      </c>
      <c r="D28" s="122"/>
      <c r="E28" s="160" t="s">
        <v>14</v>
      </c>
      <c r="F28" s="122" t="s">
        <v>14</v>
      </c>
      <c r="G28" s="122" t="s">
        <v>14</v>
      </c>
      <c r="H28" s="251">
        <v>31</v>
      </c>
    </row>
    <row r="29" spans="2:8" ht="20.100000000000001" customHeight="1">
      <c r="B29" s="363" t="s">
        <v>50</v>
      </c>
      <c r="C29" s="252" t="s">
        <v>14</v>
      </c>
      <c r="D29" s="351"/>
      <c r="E29" s="351" t="s">
        <v>14</v>
      </c>
      <c r="F29" s="122" t="s">
        <v>14</v>
      </c>
      <c r="G29" s="122" t="s">
        <v>14</v>
      </c>
      <c r="H29" s="251" t="s">
        <v>14</v>
      </c>
    </row>
    <row r="30" spans="2:8" ht="20.100000000000001" customHeight="1">
      <c r="B30" s="363" t="s">
        <v>244</v>
      </c>
      <c r="C30" s="252">
        <v>-6529</v>
      </c>
      <c r="D30" s="122"/>
      <c r="E30" s="351">
        <v>-1450</v>
      </c>
      <c r="F30" s="122" t="s">
        <v>14</v>
      </c>
      <c r="G30" s="122" t="s">
        <v>14</v>
      </c>
      <c r="H30" s="251">
        <v>-7979</v>
      </c>
    </row>
    <row r="31" spans="2:8" ht="20.100000000000001" customHeight="1">
      <c r="B31" s="36" t="s">
        <v>87</v>
      </c>
      <c r="C31" s="126">
        <v>-164</v>
      </c>
      <c r="D31" s="123"/>
      <c r="E31" s="126">
        <v>-36</v>
      </c>
      <c r="F31" s="123">
        <v>-26</v>
      </c>
      <c r="G31" s="123" t="s">
        <v>14</v>
      </c>
      <c r="H31" s="251">
        <v>-226</v>
      </c>
    </row>
    <row r="32" spans="2:8" ht="20.100000000000001" customHeight="1">
      <c r="B32" s="431" t="s">
        <v>36</v>
      </c>
      <c r="C32" s="432">
        <v>-6662</v>
      </c>
      <c r="D32" s="344"/>
      <c r="E32" s="344">
        <v>-4430</v>
      </c>
      <c r="F32" s="344">
        <v>-551</v>
      </c>
      <c r="G32" s="344" t="s">
        <v>14</v>
      </c>
      <c r="H32" s="434">
        <v>-11643</v>
      </c>
    </row>
    <row r="33" spans="2:8" ht="20.100000000000001" customHeight="1">
      <c r="B33" s="15" t="s">
        <v>47</v>
      </c>
      <c r="C33" s="351"/>
      <c r="D33" s="351"/>
      <c r="E33" s="351"/>
      <c r="F33" s="351"/>
      <c r="G33" s="351"/>
      <c r="H33" s="250"/>
    </row>
    <row r="34" spans="2:8" ht="20.100000000000001" customHeight="1">
      <c r="B34" s="141" t="s">
        <v>48</v>
      </c>
      <c r="C34" s="351" t="s">
        <v>14</v>
      </c>
      <c r="D34" s="351"/>
      <c r="E34" s="351">
        <v>-978</v>
      </c>
      <c r="F34" s="122">
        <v>-87</v>
      </c>
      <c r="G34" s="122" t="s">
        <v>14</v>
      </c>
      <c r="H34" s="251">
        <v>-1065</v>
      </c>
    </row>
    <row r="35" spans="2:8" ht="20.100000000000001" customHeight="1">
      <c r="B35" s="141" t="s">
        <v>49</v>
      </c>
      <c r="C35" s="351">
        <v>-74</v>
      </c>
      <c r="D35" s="122"/>
      <c r="E35" s="160" t="s">
        <v>14</v>
      </c>
      <c r="F35" s="122" t="s">
        <v>14</v>
      </c>
      <c r="G35" s="122" t="s">
        <v>14</v>
      </c>
      <c r="H35" s="251">
        <v>-74</v>
      </c>
    </row>
    <row r="36" spans="2:8" ht="20.100000000000001" customHeight="1">
      <c r="B36" s="141" t="s">
        <v>50</v>
      </c>
      <c r="C36" s="252" t="s">
        <v>14</v>
      </c>
      <c r="D36" s="351"/>
      <c r="E36" s="351">
        <v>-373</v>
      </c>
      <c r="F36" s="122">
        <v>-3</v>
      </c>
      <c r="G36" s="122" t="s">
        <v>14</v>
      </c>
      <c r="H36" s="251">
        <v>-376</v>
      </c>
    </row>
    <row r="37" spans="2:8" ht="20.100000000000001" customHeight="1">
      <c r="B37" s="363" t="s">
        <v>244</v>
      </c>
      <c r="C37" s="252">
        <v>-855</v>
      </c>
      <c r="D37" s="122"/>
      <c r="E37" s="351">
        <v>-184</v>
      </c>
      <c r="F37" s="122">
        <v>-4</v>
      </c>
      <c r="G37" s="122" t="s">
        <v>14</v>
      </c>
      <c r="H37" s="251">
        <v>-1043</v>
      </c>
    </row>
    <row r="38" spans="2:8" ht="20.100000000000001" customHeight="1">
      <c r="B38" s="142" t="s">
        <v>87</v>
      </c>
      <c r="C38" s="126">
        <v>-113</v>
      </c>
      <c r="D38" s="123"/>
      <c r="E38" s="126">
        <v>-54</v>
      </c>
      <c r="F38" s="123">
        <v>-44</v>
      </c>
      <c r="G38" s="123" t="s">
        <v>14</v>
      </c>
      <c r="H38" s="251">
        <v>-211</v>
      </c>
    </row>
    <row r="39" spans="2:8" ht="20.100000000000001" customHeight="1">
      <c r="B39" s="513" t="s">
        <v>36</v>
      </c>
      <c r="C39" s="432">
        <v>-1042</v>
      </c>
      <c r="D39" s="344"/>
      <c r="E39" s="344">
        <v>-1589</v>
      </c>
      <c r="F39" s="344">
        <v>-138</v>
      </c>
      <c r="G39" s="344" t="s">
        <v>14</v>
      </c>
      <c r="H39" s="434">
        <v>-2769</v>
      </c>
    </row>
  </sheetData>
  <mergeCells count="1">
    <mergeCell ref="B2:H2"/>
  </mergeCells>
  <pageMargins left="0.74803149606299213" right="0.74803149606299213" top="0.98425196850393704" bottom="0.98425196850393704" header="0.51181102362204722" footer="0.51181102362204722"/>
  <pageSetup paperSize="9" scale="7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4">
    <tabColor rgb="FF0076BD"/>
    <pageSetUpPr fitToPage="1"/>
  </sheetPr>
  <dimension ref="B2:H108"/>
  <sheetViews>
    <sheetView showGridLines="0" view="pageBreakPreview" zoomScaleSheetLayoutView="100" workbookViewId="0">
      <selection activeCell="H17" sqref="H17"/>
    </sheetView>
  </sheetViews>
  <sheetFormatPr defaultColWidth="11" defaultRowHeight="20.100000000000001" customHeight="1"/>
  <cols>
    <col min="1" max="1" width="5.5" style="451" customWidth="1"/>
    <col min="2" max="2" width="40.875" style="451" customWidth="1"/>
    <col min="3" max="8" width="13.5" style="42" customWidth="1"/>
    <col min="9" max="13" width="11" style="451"/>
    <col min="14" max="14" width="10.375" style="451" customWidth="1"/>
    <col min="15" max="15" width="0" style="451" hidden="1" customWidth="1"/>
    <col min="16" max="16384" width="11" style="451"/>
  </cols>
  <sheetData>
    <row r="2" spans="2:8" ht="20.100000000000001" customHeight="1">
      <c r="B2" s="1156" t="str">
        <f>UPPER("Adjustment items to net income, Groupe Share by business segment")</f>
        <v>ADJUSTMENT ITEMS TO NET INCOME, GROUPE SHARE BY BUSINESS SEGMENT</v>
      </c>
      <c r="C2" s="1156"/>
      <c r="D2" s="1156"/>
      <c r="E2" s="1156"/>
      <c r="F2" s="1156"/>
      <c r="G2" s="1156"/>
      <c r="H2" s="1156"/>
    </row>
    <row r="4" spans="2:8" ht="33" customHeight="1">
      <c r="B4" s="22" t="s">
        <v>13</v>
      </c>
      <c r="C4" s="518" t="s">
        <v>318</v>
      </c>
      <c r="D4" s="514" t="s">
        <v>317</v>
      </c>
      <c r="E4" s="38" t="s">
        <v>11</v>
      </c>
      <c r="F4" s="38" t="s">
        <v>12</v>
      </c>
      <c r="G4" s="38" t="s">
        <v>35</v>
      </c>
      <c r="H4" s="38" t="s">
        <v>36</v>
      </c>
    </row>
    <row r="5" spans="2:8" ht="20.100000000000001" customHeight="1">
      <c r="B5" s="15" t="s">
        <v>302</v>
      </c>
      <c r="C5" s="24"/>
      <c r="D5" s="24"/>
      <c r="E5" s="24"/>
      <c r="F5" s="24"/>
      <c r="G5" s="24"/>
      <c r="H5" s="32"/>
    </row>
    <row r="6" spans="2:8" ht="20.100000000000001" customHeight="1">
      <c r="B6" s="363" t="s">
        <v>48</v>
      </c>
      <c r="C6" s="24" t="s">
        <v>14</v>
      </c>
      <c r="D6" s="24" t="s">
        <v>14</v>
      </c>
      <c r="E6" s="25">
        <v>295</v>
      </c>
      <c r="F6" s="25">
        <v>-13</v>
      </c>
      <c r="G6" s="24" t="s">
        <v>14</v>
      </c>
      <c r="H6" s="32">
        <v>282</v>
      </c>
    </row>
    <row r="7" spans="2:8" ht="20.100000000000001" customHeight="1">
      <c r="B7" s="363" t="s">
        <v>49</v>
      </c>
      <c r="C7" s="24" t="s">
        <v>14</v>
      </c>
      <c r="D7" s="25">
        <v>-16</v>
      </c>
      <c r="E7" s="24" t="s">
        <v>14</v>
      </c>
      <c r="F7" s="24" t="s">
        <v>14</v>
      </c>
      <c r="G7" s="24" t="s">
        <v>14</v>
      </c>
      <c r="H7" s="32">
        <v>-16</v>
      </c>
    </row>
    <row r="8" spans="2:8" ht="20.100000000000001" customHeight="1">
      <c r="B8" s="363" t="s">
        <v>50</v>
      </c>
      <c r="C8" s="33">
        <v>-11</v>
      </c>
      <c r="D8" s="25">
        <v>-11</v>
      </c>
      <c r="E8" s="25">
        <v>-42</v>
      </c>
      <c r="F8" s="25">
        <v>-2</v>
      </c>
      <c r="G8" s="24" t="s">
        <v>14</v>
      </c>
      <c r="H8" s="32">
        <v>-66</v>
      </c>
    </row>
    <row r="9" spans="2:8" ht="20.100000000000001" customHeight="1">
      <c r="B9" s="363" t="s">
        <v>244</v>
      </c>
      <c r="C9" s="33">
        <v>-3583</v>
      </c>
      <c r="D9" s="25">
        <v>-238</v>
      </c>
      <c r="E9" s="25">
        <v>-53</v>
      </c>
      <c r="F9" s="25">
        <v>-10</v>
      </c>
      <c r="G9" s="24" t="s">
        <v>14</v>
      </c>
      <c r="H9" s="32">
        <v>-3884</v>
      </c>
    </row>
    <row r="10" spans="2:8" ht="20.100000000000001" customHeight="1">
      <c r="B10" s="363" t="s">
        <v>51</v>
      </c>
      <c r="C10" s="33">
        <v>188</v>
      </c>
      <c r="D10" s="24" t="s">
        <v>14</v>
      </c>
      <c r="E10" s="25">
        <v>2139</v>
      </c>
      <c r="F10" s="25">
        <v>125</v>
      </c>
      <c r="G10" s="24" t="s">
        <v>14</v>
      </c>
      <c r="H10" s="32">
        <v>2452</v>
      </c>
    </row>
    <row r="11" spans="2:8" ht="20.100000000000001" customHeight="1">
      <c r="B11" s="365" t="s">
        <v>87</v>
      </c>
      <c r="C11" s="33">
        <v>-287</v>
      </c>
      <c r="D11" s="28">
        <v>-293</v>
      </c>
      <c r="E11" s="28">
        <v>73</v>
      </c>
      <c r="F11" s="28">
        <v>-30</v>
      </c>
      <c r="G11" s="28">
        <v>-178</v>
      </c>
      <c r="H11" s="32">
        <v>-715</v>
      </c>
    </row>
    <row r="12" spans="2:8" ht="20.100000000000001" customHeight="1">
      <c r="B12" s="39" t="s">
        <v>36</v>
      </c>
      <c r="C12" s="40">
        <v>-3693</v>
      </c>
      <c r="D12" s="40">
        <v>-558</v>
      </c>
      <c r="E12" s="40">
        <v>2412</v>
      </c>
      <c r="F12" s="40">
        <v>70</v>
      </c>
      <c r="G12" s="40">
        <v>-178</v>
      </c>
      <c r="H12" s="40">
        <v>-1947</v>
      </c>
    </row>
    <row r="13" spans="2:8" ht="20.100000000000001" customHeight="1">
      <c r="B13" s="15" t="s">
        <v>239</v>
      </c>
      <c r="C13" s="351"/>
      <c r="D13" s="351"/>
      <c r="E13" s="351"/>
      <c r="F13" s="351"/>
      <c r="G13" s="351"/>
      <c r="H13" s="251"/>
    </row>
    <row r="14" spans="2:8" ht="20.100000000000001" customHeight="1">
      <c r="B14" s="363" t="s">
        <v>48</v>
      </c>
      <c r="C14" s="351" t="s">
        <v>14</v>
      </c>
      <c r="D14" s="351" t="s">
        <v>14</v>
      </c>
      <c r="E14" s="122">
        <v>498</v>
      </c>
      <c r="F14" s="122">
        <v>-19</v>
      </c>
      <c r="G14" s="122" t="s">
        <v>14</v>
      </c>
      <c r="H14" s="251">
        <v>479</v>
      </c>
    </row>
    <row r="15" spans="2:8" ht="20.100000000000001" customHeight="1">
      <c r="B15" s="363" t="s">
        <v>49</v>
      </c>
      <c r="C15" s="351" t="s">
        <v>14</v>
      </c>
      <c r="D15" s="122">
        <v>-3</v>
      </c>
      <c r="E15" s="122" t="s">
        <v>14</v>
      </c>
      <c r="F15" s="122" t="s">
        <v>14</v>
      </c>
      <c r="G15" s="122" t="s">
        <v>14</v>
      </c>
      <c r="H15" s="251">
        <v>-3</v>
      </c>
    </row>
    <row r="16" spans="2:8" ht="20.100000000000001" customHeight="1">
      <c r="B16" s="363" t="s">
        <v>50</v>
      </c>
      <c r="C16" s="252">
        <v>-4</v>
      </c>
      <c r="D16" s="122">
        <v>-28</v>
      </c>
      <c r="E16" s="122" t="s">
        <v>14</v>
      </c>
      <c r="F16" s="351" t="s">
        <v>14</v>
      </c>
      <c r="G16" s="122" t="s">
        <v>14</v>
      </c>
      <c r="H16" s="251">
        <v>-32</v>
      </c>
    </row>
    <row r="17" spans="2:8" ht="20.100000000000001" customHeight="1">
      <c r="B17" s="363" t="s">
        <v>244</v>
      </c>
      <c r="C17" s="252">
        <v>-1867</v>
      </c>
      <c r="D17" s="122">
        <v>-131</v>
      </c>
      <c r="E17" s="122">
        <v>-78</v>
      </c>
      <c r="F17" s="122">
        <v>-18</v>
      </c>
      <c r="G17" s="122">
        <v>-3</v>
      </c>
      <c r="H17" s="251">
        <v>-2097</v>
      </c>
    </row>
    <row r="18" spans="2:8" ht="20.100000000000001" customHeight="1">
      <c r="B18" s="363" t="s">
        <v>51</v>
      </c>
      <c r="C18" s="252">
        <v>287</v>
      </c>
      <c r="D18" s="122">
        <v>5</v>
      </c>
      <c r="E18" s="122" t="s">
        <v>14</v>
      </c>
      <c r="F18" s="122">
        <v>-25</v>
      </c>
      <c r="G18" s="122" t="s">
        <v>14</v>
      </c>
      <c r="H18" s="251">
        <v>267</v>
      </c>
    </row>
    <row r="19" spans="2:8" ht="20.100000000000001" customHeight="1">
      <c r="B19" s="365" t="s">
        <v>87</v>
      </c>
      <c r="C19" s="253">
        <v>-293</v>
      </c>
      <c r="D19" s="123">
        <v>-237</v>
      </c>
      <c r="E19" s="123">
        <v>-91</v>
      </c>
      <c r="F19" s="123">
        <v>-84</v>
      </c>
      <c r="G19" s="123" t="s">
        <v>14</v>
      </c>
      <c r="H19" s="251">
        <v>-705</v>
      </c>
    </row>
    <row r="20" spans="2:8" ht="20.100000000000001" customHeight="1">
      <c r="B20" s="431" t="s">
        <v>36</v>
      </c>
      <c r="C20" s="517">
        <v>-1877</v>
      </c>
      <c r="D20" s="516">
        <v>-394</v>
      </c>
      <c r="E20" s="516">
        <v>329</v>
      </c>
      <c r="F20" s="516">
        <v>-146</v>
      </c>
      <c r="G20" s="516">
        <v>-3</v>
      </c>
      <c r="H20" s="515">
        <v>-2091</v>
      </c>
    </row>
    <row r="21" spans="2:8" ht="20.100000000000001" customHeight="1">
      <c r="B21" s="15" t="s">
        <v>224</v>
      </c>
      <c r="C21" s="351"/>
      <c r="D21" s="351"/>
      <c r="E21" s="351"/>
      <c r="F21" s="351"/>
      <c r="G21" s="351"/>
      <c r="H21" s="251"/>
    </row>
    <row r="22" spans="2:8" ht="20.100000000000001" customHeight="1">
      <c r="B22" s="363" t="s">
        <v>48</v>
      </c>
      <c r="C22" s="351" t="s">
        <v>14</v>
      </c>
      <c r="D22" s="351" t="s">
        <v>14</v>
      </c>
      <c r="E22" s="122">
        <v>-590</v>
      </c>
      <c r="F22" s="122">
        <v>-157</v>
      </c>
      <c r="G22" s="122" t="s">
        <v>14</v>
      </c>
      <c r="H22" s="251">
        <v>-747</v>
      </c>
    </row>
    <row r="23" spans="2:8" ht="20.100000000000001" customHeight="1">
      <c r="B23" s="363" t="s">
        <v>49</v>
      </c>
      <c r="C23" s="351" t="s">
        <v>14</v>
      </c>
      <c r="D23" s="122">
        <v>-9</v>
      </c>
      <c r="E23" s="122" t="s">
        <v>14</v>
      </c>
      <c r="F23" s="122" t="s">
        <v>14</v>
      </c>
      <c r="G23" s="122" t="s">
        <v>14</v>
      </c>
      <c r="H23" s="251">
        <v>-9</v>
      </c>
    </row>
    <row r="24" spans="2:8" ht="20.100000000000001" customHeight="1">
      <c r="B24" s="363" t="s">
        <v>50</v>
      </c>
      <c r="C24" s="252">
        <v>-10</v>
      </c>
      <c r="D24" s="122">
        <v>-5</v>
      </c>
      <c r="E24" s="122">
        <v>-52</v>
      </c>
      <c r="F24" s="122">
        <v>-5</v>
      </c>
      <c r="G24" s="122" t="s">
        <v>14</v>
      </c>
      <c r="H24" s="251">
        <v>-72</v>
      </c>
    </row>
    <row r="25" spans="2:8" ht="20.100000000000001" customHeight="1">
      <c r="B25" s="363" t="s">
        <v>244</v>
      </c>
      <c r="C25" s="252">
        <v>-5057</v>
      </c>
      <c r="D25" s="122">
        <v>-270</v>
      </c>
      <c r="E25" s="122">
        <v>-59</v>
      </c>
      <c r="F25" s="122">
        <v>-49</v>
      </c>
      <c r="G25" s="122">
        <v>-12</v>
      </c>
      <c r="H25" s="251">
        <v>-5447</v>
      </c>
    </row>
    <row r="26" spans="2:8" ht="20.100000000000001" customHeight="1">
      <c r="B26" s="363" t="s">
        <v>51</v>
      </c>
      <c r="C26" s="252">
        <v>162</v>
      </c>
      <c r="D26" s="351" t="s">
        <v>14</v>
      </c>
      <c r="E26" s="122">
        <v>1288</v>
      </c>
      <c r="F26" s="122">
        <v>360</v>
      </c>
      <c r="G26" s="122" t="s">
        <v>14</v>
      </c>
      <c r="H26" s="251">
        <v>1810</v>
      </c>
    </row>
    <row r="27" spans="2:8" ht="20.100000000000001" customHeight="1">
      <c r="B27" s="36" t="s">
        <v>87</v>
      </c>
      <c r="C27" s="253">
        <v>-148</v>
      </c>
      <c r="D27" s="123">
        <v>-421</v>
      </c>
      <c r="E27" s="123">
        <v>-264</v>
      </c>
      <c r="F27" s="123">
        <v>-133</v>
      </c>
      <c r="G27" s="123" t="s">
        <v>14</v>
      </c>
      <c r="H27" s="251">
        <v>-966</v>
      </c>
    </row>
    <row r="28" spans="2:8" ht="20.100000000000001" customHeight="1">
      <c r="B28" s="431" t="s">
        <v>36</v>
      </c>
      <c r="C28" s="517">
        <v>-5053</v>
      </c>
      <c r="D28" s="516">
        <v>-705</v>
      </c>
      <c r="E28" s="516">
        <v>323</v>
      </c>
      <c r="F28" s="516">
        <v>16</v>
      </c>
      <c r="G28" s="516">
        <v>-12</v>
      </c>
      <c r="H28" s="515">
        <v>-5431</v>
      </c>
    </row>
    <row r="29" spans="2:8" ht="20.100000000000001" customHeight="1">
      <c r="B29" s="15" t="s">
        <v>162</v>
      </c>
      <c r="C29" s="351"/>
      <c r="D29" s="351"/>
      <c r="E29" s="351"/>
      <c r="F29" s="351"/>
      <c r="G29" s="351"/>
      <c r="H29" s="251"/>
    </row>
    <row r="30" spans="2:8" ht="20.100000000000001" customHeight="1">
      <c r="B30" s="363" t="s">
        <v>48</v>
      </c>
      <c r="C30" s="351" t="s">
        <v>14</v>
      </c>
      <c r="D30" s="351"/>
      <c r="E30" s="122">
        <v>-2114</v>
      </c>
      <c r="F30" s="122">
        <v>-339</v>
      </c>
      <c r="G30" s="122" t="s">
        <v>14</v>
      </c>
      <c r="H30" s="251">
        <v>-2453</v>
      </c>
    </row>
    <row r="31" spans="2:8" ht="20.100000000000001" customHeight="1">
      <c r="B31" s="363" t="s">
        <v>49</v>
      </c>
      <c r="C31" s="351">
        <v>25</v>
      </c>
      <c r="D31" s="122"/>
      <c r="E31" s="122" t="s">
        <v>14</v>
      </c>
      <c r="F31" s="122" t="s">
        <v>14</v>
      </c>
      <c r="G31" s="122" t="s">
        <v>14</v>
      </c>
      <c r="H31" s="251">
        <v>25</v>
      </c>
    </row>
    <row r="32" spans="2:8" ht="20.100000000000001" customHeight="1">
      <c r="B32" s="363" t="s">
        <v>50</v>
      </c>
      <c r="C32" s="252" t="s">
        <v>14</v>
      </c>
      <c r="D32" s="122"/>
      <c r="E32" s="122">
        <v>-13</v>
      </c>
      <c r="F32" s="122">
        <v>-7</v>
      </c>
      <c r="G32" s="122" t="s">
        <v>14</v>
      </c>
      <c r="H32" s="251">
        <v>-20</v>
      </c>
    </row>
    <row r="33" spans="2:8" ht="20.100000000000001" customHeight="1">
      <c r="B33" s="363" t="s">
        <v>244</v>
      </c>
      <c r="C33" s="252">
        <v>-5514</v>
      </c>
      <c r="D33" s="122"/>
      <c r="E33" s="122">
        <v>-1409</v>
      </c>
      <c r="F33" s="122">
        <v>-140</v>
      </c>
      <c r="G33" s="122" t="s">
        <v>14</v>
      </c>
      <c r="H33" s="251">
        <v>-7063</v>
      </c>
    </row>
    <row r="34" spans="2:8" ht="20.100000000000001" customHeight="1">
      <c r="B34" s="363" t="s">
        <v>51</v>
      </c>
      <c r="C34" s="252">
        <v>1314</v>
      </c>
      <c r="D34" s="351"/>
      <c r="E34" s="122">
        <v>-105</v>
      </c>
      <c r="F34" s="122" t="s">
        <v>14</v>
      </c>
      <c r="G34" s="122" t="s">
        <v>14</v>
      </c>
      <c r="H34" s="251">
        <v>1209</v>
      </c>
    </row>
    <row r="35" spans="2:8" ht="20.100000000000001" customHeight="1">
      <c r="B35" s="36" t="s">
        <v>87</v>
      </c>
      <c r="C35" s="253">
        <v>-193</v>
      </c>
      <c r="D35" s="123"/>
      <c r="E35" s="123">
        <v>-58</v>
      </c>
      <c r="F35" s="123">
        <v>-40</v>
      </c>
      <c r="G35" s="123" t="s">
        <v>14</v>
      </c>
      <c r="H35" s="251">
        <v>-291</v>
      </c>
    </row>
    <row r="36" spans="2:8" ht="20.100000000000001" customHeight="1">
      <c r="B36" s="431" t="s">
        <v>36</v>
      </c>
      <c r="C36" s="517">
        <v>-4368</v>
      </c>
      <c r="D36" s="516"/>
      <c r="E36" s="516">
        <v>-3699</v>
      </c>
      <c r="F36" s="516">
        <v>-526</v>
      </c>
      <c r="G36" s="516" t="s">
        <v>14</v>
      </c>
      <c r="H36" s="515">
        <v>-8593</v>
      </c>
    </row>
    <row r="37" spans="2:8" ht="20.100000000000001" customHeight="1">
      <c r="B37" s="15" t="s">
        <v>47</v>
      </c>
      <c r="C37" s="351"/>
      <c r="D37" s="351"/>
      <c r="E37" s="351"/>
      <c r="F37" s="351"/>
      <c r="G37" s="351"/>
      <c r="H37" s="251"/>
    </row>
    <row r="38" spans="2:8" ht="20.100000000000001" customHeight="1">
      <c r="B38" s="363" t="s">
        <v>48</v>
      </c>
      <c r="C38" s="351" t="s">
        <v>14</v>
      </c>
      <c r="D38" s="351"/>
      <c r="E38" s="122">
        <v>-656</v>
      </c>
      <c r="F38" s="122">
        <v>-72</v>
      </c>
      <c r="G38" s="122" t="s">
        <v>14</v>
      </c>
      <c r="H38" s="251">
        <v>-728</v>
      </c>
    </row>
    <row r="39" spans="2:8" ht="20.100000000000001" customHeight="1">
      <c r="B39" s="363" t="s">
        <v>49</v>
      </c>
      <c r="C39" s="351">
        <v>-58</v>
      </c>
      <c r="D39" s="122"/>
      <c r="E39" s="122" t="s">
        <v>14</v>
      </c>
      <c r="F39" s="122" t="s">
        <v>14</v>
      </c>
      <c r="G39" s="122" t="s">
        <v>14</v>
      </c>
      <c r="H39" s="251">
        <v>-58</v>
      </c>
    </row>
    <row r="40" spans="2:8" ht="20.100000000000001" customHeight="1">
      <c r="B40" s="363" t="s">
        <v>50</v>
      </c>
      <c r="C40" s="252" t="s">
        <v>14</v>
      </c>
      <c r="D40" s="122"/>
      <c r="E40" s="122">
        <v>-537</v>
      </c>
      <c r="F40" s="122">
        <v>-30</v>
      </c>
      <c r="G40" s="122" t="s">
        <v>14</v>
      </c>
      <c r="H40" s="251">
        <v>-567</v>
      </c>
    </row>
    <row r="41" spans="2:8" ht="20.100000000000001" customHeight="1">
      <c r="B41" s="363" t="s">
        <v>244</v>
      </c>
      <c r="C41" s="252">
        <v>-581</v>
      </c>
      <c r="D41" s="122"/>
      <c r="E41" s="122">
        <v>-183</v>
      </c>
      <c r="F41" s="122">
        <v>-9</v>
      </c>
      <c r="G41" s="122" t="s">
        <v>14</v>
      </c>
      <c r="H41" s="251">
        <v>-773</v>
      </c>
    </row>
    <row r="42" spans="2:8" ht="20.100000000000001" customHeight="1">
      <c r="B42" s="363" t="s">
        <v>51</v>
      </c>
      <c r="C42" s="252">
        <v>-58</v>
      </c>
      <c r="D42" s="351"/>
      <c r="E42" s="122">
        <v>-59</v>
      </c>
      <c r="F42" s="122" t="s">
        <v>14</v>
      </c>
      <c r="G42" s="122" t="s">
        <v>14</v>
      </c>
      <c r="H42" s="251">
        <v>-117</v>
      </c>
    </row>
    <row r="43" spans="2:8" ht="20.100000000000001" customHeight="1">
      <c r="B43" s="36" t="s">
        <v>87</v>
      </c>
      <c r="C43" s="253">
        <v>-113</v>
      </c>
      <c r="D43" s="123"/>
      <c r="E43" s="123">
        <v>-676</v>
      </c>
      <c r="F43" s="123">
        <v>47</v>
      </c>
      <c r="G43" s="123">
        <v>-79</v>
      </c>
      <c r="H43" s="251">
        <v>-821</v>
      </c>
    </row>
    <row r="44" spans="2:8" ht="20.100000000000001" customHeight="1">
      <c r="B44" s="431" t="s">
        <v>36</v>
      </c>
      <c r="C44" s="517">
        <v>-810</v>
      </c>
      <c r="D44" s="516"/>
      <c r="E44" s="516">
        <v>-2111</v>
      </c>
      <c r="F44" s="516">
        <v>-64</v>
      </c>
      <c r="G44" s="516">
        <v>-79</v>
      </c>
      <c r="H44" s="515">
        <v>-3064</v>
      </c>
    </row>
    <row r="45" spans="2:8" ht="20.100000000000001" customHeight="1">
      <c r="C45" s="451"/>
      <c r="D45" s="451"/>
      <c r="E45" s="451"/>
      <c r="F45" s="451"/>
      <c r="G45" s="451"/>
      <c r="H45" s="451"/>
    </row>
    <row r="46" spans="2:8" ht="20.100000000000001" customHeight="1">
      <c r="C46" s="451"/>
      <c r="D46" s="451"/>
      <c r="E46" s="451"/>
      <c r="F46" s="451"/>
      <c r="G46" s="451"/>
      <c r="H46" s="451"/>
    </row>
    <row r="47" spans="2:8" ht="20.100000000000001" customHeight="1">
      <c r="C47" s="451"/>
      <c r="D47" s="451"/>
      <c r="E47" s="451"/>
      <c r="F47" s="451"/>
      <c r="G47" s="451"/>
      <c r="H47" s="451"/>
    </row>
    <row r="48" spans="2:8" ht="20.100000000000001" customHeight="1">
      <c r="C48" s="451"/>
      <c r="D48" s="451"/>
      <c r="E48" s="451"/>
      <c r="F48" s="451"/>
      <c r="G48" s="451"/>
      <c r="H48" s="451"/>
    </row>
    <row r="49" spans="3:8" ht="20.100000000000001" customHeight="1">
      <c r="C49" s="451"/>
      <c r="D49" s="451"/>
      <c r="E49" s="451"/>
      <c r="F49" s="451"/>
      <c r="G49" s="451"/>
      <c r="H49" s="451"/>
    </row>
    <row r="50" spans="3:8" ht="20.100000000000001" customHeight="1">
      <c r="C50" s="451"/>
      <c r="D50" s="451"/>
      <c r="E50" s="451"/>
      <c r="F50" s="451"/>
      <c r="G50" s="451"/>
      <c r="H50" s="451"/>
    </row>
    <row r="51" spans="3:8" ht="20.100000000000001" customHeight="1">
      <c r="C51" s="451"/>
      <c r="D51" s="451"/>
      <c r="E51" s="451"/>
      <c r="F51" s="451"/>
      <c r="G51" s="451"/>
      <c r="H51" s="451"/>
    </row>
    <row r="52" spans="3:8" ht="20.100000000000001" customHeight="1">
      <c r="C52" s="451"/>
      <c r="D52" s="451"/>
      <c r="E52" s="451"/>
      <c r="F52" s="451"/>
      <c r="G52" s="451"/>
      <c r="H52" s="451"/>
    </row>
    <row r="53" spans="3:8" ht="20.100000000000001" customHeight="1">
      <c r="C53" s="451"/>
      <c r="D53" s="451"/>
      <c r="E53" s="451"/>
      <c r="F53" s="451"/>
      <c r="G53" s="451"/>
      <c r="H53" s="451"/>
    </row>
    <row r="54" spans="3:8" ht="20.100000000000001" customHeight="1">
      <c r="C54" s="451"/>
      <c r="D54" s="451"/>
      <c r="E54" s="451"/>
      <c r="F54" s="451"/>
      <c r="G54" s="451"/>
      <c r="H54" s="451"/>
    </row>
    <row r="55" spans="3:8" ht="20.100000000000001" customHeight="1">
      <c r="C55" s="451"/>
      <c r="D55" s="451"/>
      <c r="E55" s="451"/>
      <c r="F55" s="451"/>
      <c r="G55" s="451"/>
      <c r="H55" s="451"/>
    </row>
    <row r="56" spans="3:8" ht="20.100000000000001" customHeight="1">
      <c r="C56" s="451"/>
      <c r="D56" s="451"/>
      <c r="E56" s="451"/>
      <c r="F56" s="451"/>
      <c r="G56" s="451"/>
      <c r="H56" s="451"/>
    </row>
    <row r="57" spans="3:8" ht="20.100000000000001" customHeight="1">
      <c r="C57" s="451"/>
      <c r="D57" s="451"/>
      <c r="E57" s="451"/>
      <c r="F57" s="451"/>
      <c r="G57" s="451"/>
      <c r="H57" s="451"/>
    </row>
    <row r="58" spans="3:8" ht="20.100000000000001" customHeight="1">
      <c r="C58" s="451"/>
      <c r="D58" s="451"/>
      <c r="E58" s="451"/>
      <c r="F58" s="451"/>
      <c r="G58" s="451"/>
      <c r="H58" s="451"/>
    </row>
    <row r="59" spans="3:8" ht="20.100000000000001" customHeight="1">
      <c r="C59" s="451"/>
      <c r="D59" s="451"/>
      <c r="E59" s="451"/>
      <c r="F59" s="451"/>
      <c r="G59" s="451"/>
      <c r="H59" s="451"/>
    </row>
    <row r="60" spans="3:8" ht="20.100000000000001" customHeight="1">
      <c r="C60" s="451"/>
      <c r="D60" s="451"/>
      <c r="E60" s="451"/>
      <c r="F60" s="451"/>
      <c r="G60" s="451"/>
      <c r="H60" s="451"/>
    </row>
    <row r="61" spans="3:8" ht="20.100000000000001" customHeight="1">
      <c r="C61" s="451"/>
      <c r="D61" s="451"/>
      <c r="E61" s="451"/>
      <c r="F61" s="451"/>
      <c r="G61" s="451"/>
      <c r="H61" s="451"/>
    </row>
    <row r="62" spans="3:8" ht="20.100000000000001" customHeight="1">
      <c r="C62" s="451"/>
      <c r="D62" s="451"/>
      <c r="E62" s="451"/>
      <c r="F62" s="451"/>
      <c r="G62" s="451"/>
      <c r="H62" s="451"/>
    </row>
    <row r="63" spans="3:8" ht="20.100000000000001" customHeight="1">
      <c r="C63" s="451"/>
      <c r="D63" s="451"/>
      <c r="E63" s="451"/>
      <c r="F63" s="451"/>
      <c r="G63" s="451"/>
      <c r="H63" s="451"/>
    </row>
    <row r="64" spans="3:8" ht="20.100000000000001" customHeight="1">
      <c r="C64" s="451"/>
      <c r="D64" s="451"/>
      <c r="E64" s="451"/>
      <c r="F64" s="451"/>
      <c r="G64" s="451"/>
      <c r="H64" s="451"/>
    </row>
    <row r="65" spans="3:8" ht="20.100000000000001" customHeight="1">
      <c r="C65" s="451"/>
      <c r="D65" s="451"/>
      <c r="E65" s="451"/>
      <c r="F65" s="451"/>
      <c r="G65" s="451"/>
      <c r="H65" s="451"/>
    </row>
    <row r="66" spans="3:8" ht="20.100000000000001" customHeight="1">
      <c r="C66" s="451"/>
      <c r="D66" s="451"/>
      <c r="E66" s="451"/>
      <c r="F66" s="451"/>
      <c r="G66" s="451"/>
      <c r="H66" s="451"/>
    </row>
    <row r="67" spans="3:8" ht="20.100000000000001" customHeight="1">
      <c r="C67" s="451"/>
      <c r="D67" s="451"/>
      <c r="E67" s="451"/>
      <c r="F67" s="451"/>
      <c r="G67" s="451"/>
      <c r="H67" s="451"/>
    </row>
    <row r="68" spans="3:8" ht="20.100000000000001" customHeight="1">
      <c r="C68" s="451"/>
      <c r="D68" s="451"/>
      <c r="E68" s="451"/>
      <c r="F68" s="451"/>
      <c r="G68" s="451"/>
      <c r="H68" s="451"/>
    </row>
    <row r="69" spans="3:8" ht="20.100000000000001" customHeight="1">
      <c r="C69" s="451"/>
      <c r="D69" s="451"/>
      <c r="E69" s="451"/>
      <c r="F69" s="451"/>
      <c r="G69" s="451"/>
      <c r="H69" s="451"/>
    </row>
    <row r="70" spans="3:8" ht="20.100000000000001" customHeight="1">
      <c r="C70" s="451"/>
      <c r="D70" s="451"/>
      <c r="E70" s="451"/>
      <c r="F70" s="451"/>
      <c r="G70" s="451"/>
      <c r="H70" s="451"/>
    </row>
    <row r="71" spans="3:8" ht="20.100000000000001" customHeight="1">
      <c r="C71" s="451"/>
      <c r="D71" s="451"/>
      <c r="E71" s="451"/>
      <c r="F71" s="451"/>
      <c r="G71" s="451"/>
      <c r="H71" s="451"/>
    </row>
    <row r="72" spans="3:8" ht="20.100000000000001" customHeight="1">
      <c r="C72" s="451"/>
      <c r="D72" s="451"/>
      <c r="E72" s="451"/>
      <c r="F72" s="451"/>
      <c r="G72" s="451"/>
      <c r="H72" s="451"/>
    </row>
    <row r="73" spans="3:8" ht="20.100000000000001" customHeight="1">
      <c r="C73" s="451"/>
      <c r="D73" s="451"/>
      <c r="E73" s="451"/>
      <c r="F73" s="451"/>
      <c r="G73" s="451"/>
      <c r="H73" s="451"/>
    </row>
    <row r="74" spans="3:8" ht="20.100000000000001" customHeight="1">
      <c r="C74" s="451"/>
      <c r="D74" s="451"/>
      <c r="E74" s="451"/>
      <c r="F74" s="451"/>
      <c r="G74" s="451"/>
      <c r="H74" s="451"/>
    </row>
    <row r="75" spans="3:8" ht="20.100000000000001" customHeight="1">
      <c r="C75" s="451"/>
      <c r="D75" s="451"/>
      <c r="E75" s="451"/>
      <c r="F75" s="451"/>
      <c r="G75" s="451"/>
      <c r="H75" s="451"/>
    </row>
    <row r="76" spans="3:8" ht="20.100000000000001" customHeight="1">
      <c r="C76" s="451"/>
      <c r="D76" s="451"/>
      <c r="E76" s="451"/>
      <c r="F76" s="451"/>
      <c r="G76" s="451"/>
      <c r="H76" s="451"/>
    </row>
    <row r="77" spans="3:8" ht="20.100000000000001" customHeight="1">
      <c r="C77" s="451"/>
      <c r="D77" s="451"/>
      <c r="E77" s="451"/>
      <c r="F77" s="451"/>
      <c r="G77" s="451"/>
      <c r="H77" s="451"/>
    </row>
    <row r="78" spans="3:8" ht="20.100000000000001" customHeight="1">
      <c r="C78" s="451"/>
      <c r="D78" s="451"/>
      <c r="E78" s="451"/>
      <c r="F78" s="451"/>
      <c r="G78" s="451"/>
      <c r="H78" s="451"/>
    </row>
    <row r="79" spans="3:8" ht="20.100000000000001" customHeight="1">
      <c r="C79" s="451"/>
      <c r="D79" s="451"/>
      <c r="E79" s="451"/>
      <c r="F79" s="451"/>
      <c r="G79" s="451"/>
      <c r="H79" s="451"/>
    </row>
    <row r="80" spans="3:8" ht="20.100000000000001" customHeight="1">
      <c r="C80" s="451"/>
      <c r="D80" s="451"/>
      <c r="E80" s="451"/>
      <c r="F80" s="451"/>
      <c r="G80" s="451"/>
      <c r="H80" s="451"/>
    </row>
    <row r="81" spans="3:8" ht="20.100000000000001" customHeight="1">
      <c r="C81" s="451"/>
      <c r="D81" s="451"/>
      <c r="E81" s="451"/>
      <c r="F81" s="451"/>
      <c r="G81" s="451"/>
      <c r="H81" s="451"/>
    </row>
    <row r="82" spans="3:8" ht="20.100000000000001" customHeight="1">
      <c r="C82" s="451"/>
      <c r="D82" s="451"/>
      <c r="E82" s="451"/>
      <c r="F82" s="451"/>
      <c r="G82" s="451"/>
      <c r="H82" s="451"/>
    </row>
    <row r="83" spans="3:8" ht="20.100000000000001" customHeight="1">
      <c r="C83" s="451"/>
      <c r="D83" s="451"/>
      <c r="E83" s="451"/>
      <c r="F83" s="451"/>
      <c r="G83" s="451"/>
      <c r="H83" s="451"/>
    </row>
    <row r="84" spans="3:8" ht="20.100000000000001" customHeight="1">
      <c r="C84" s="451"/>
      <c r="D84" s="451"/>
      <c r="E84" s="451"/>
      <c r="F84" s="451"/>
      <c r="G84" s="451"/>
      <c r="H84" s="451"/>
    </row>
    <row r="85" spans="3:8" ht="20.100000000000001" customHeight="1">
      <c r="C85" s="451"/>
      <c r="D85" s="451"/>
      <c r="E85" s="451"/>
      <c r="F85" s="451"/>
      <c r="G85" s="451"/>
      <c r="H85" s="451"/>
    </row>
    <row r="86" spans="3:8" ht="20.100000000000001" customHeight="1">
      <c r="C86" s="451"/>
      <c r="D86" s="451"/>
      <c r="E86" s="451"/>
      <c r="F86" s="451"/>
      <c r="G86" s="451"/>
      <c r="H86" s="451"/>
    </row>
    <row r="87" spans="3:8" ht="20.100000000000001" customHeight="1">
      <c r="C87" s="451"/>
      <c r="D87" s="451"/>
      <c r="E87" s="451"/>
      <c r="F87" s="451"/>
      <c r="G87" s="451"/>
      <c r="H87" s="451"/>
    </row>
    <row r="88" spans="3:8" ht="20.100000000000001" customHeight="1">
      <c r="C88" s="451"/>
      <c r="D88" s="451"/>
      <c r="E88" s="451"/>
      <c r="F88" s="451"/>
      <c r="G88" s="451"/>
      <c r="H88" s="451"/>
    </row>
    <row r="89" spans="3:8" ht="20.100000000000001" customHeight="1">
      <c r="C89" s="451"/>
      <c r="D89" s="451"/>
      <c r="E89" s="451"/>
      <c r="F89" s="451"/>
      <c r="G89" s="451"/>
      <c r="H89" s="451"/>
    </row>
    <row r="90" spans="3:8" ht="20.100000000000001" customHeight="1">
      <c r="C90" s="451"/>
      <c r="D90" s="451"/>
      <c r="E90" s="451"/>
      <c r="F90" s="451"/>
      <c r="G90" s="451"/>
      <c r="H90" s="451"/>
    </row>
    <row r="91" spans="3:8" ht="20.100000000000001" customHeight="1">
      <c r="C91" s="451"/>
      <c r="D91" s="451"/>
      <c r="E91" s="451"/>
      <c r="F91" s="451"/>
      <c r="G91" s="451"/>
      <c r="H91" s="451"/>
    </row>
    <row r="92" spans="3:8" ht="20.100000000000001" customHeight="1">
      <c r="C92" s="451"/>
      <c r="D92" s="451"/>
      <c r="E92" s="451"/>
      <c r="F92" s="451"/>
      <c r="G92" s="451"/>
      <c r="H92" s="451"/>
    </row>
    <row r="93" spans="3:8" ht="20.100000000000001" customHeight="1">
      <c r="C93" s="451"/>
      <c r="D93" s="451"/>
      <c r="E93" s="451"/>
      <c r="F93" s="451"/>
      <c r="G93" s="451"/>
      <c r="H93" s="451"/>
    </row>
    <row r="94" spans="3:8" ht="20.100000000000001" customHeight="1">
      <c r="C94" s="451"/>
      <c r="D94" s="451"/>
      <c r="E94" s="451"/>
      <c r="F94" s="451"/>
      <c r="G94" s="451"/>
      <c r="H94" s="451"/>
    </row>
    <row r="95" spans="3:8" ht="20.100000000000001" customHeight="1">
      <c r="C95" s="451"/>
      <c r="D95" s="451"/>
      <c r="E95" s="451"/>
      <c r="F95" s="451"/>
      <c r="G95" s="451"/>
      <c r="H95" s="451"/>
    </row>
    <row r="96" spans="3:8" ht="20.100000000000001" customHeight="1">
      <c r="C96" s="451"/>
      <c r="D96" s="451"/>
      <c r="E96" s="451"/>
      <c r="F96" s="451"/>
      <c r="G96" s="451"/>
      <c r="H96" s="451"/>
    </row>
    <row r="97" spans="3:8" ht="20.100000000000001" customHeight="1">
      <c r="C97" s="451"/>
      <c r="D97" s="451"/>
      <c r="E97" s="451"/>
      <c r="F97" s="451"/>
      <c r="G97" s="451"/>
      <c r="H97" s="451"/>
    </row>
    <row r="98" spans="3:8" ht="20.100000000000001" customHeight="1">
      <c r="C98" s="451"/>
      <c r="D98" s="451"/>
      <c r="E98" s="451"/>
      <c r="F98" s="451"/>
      <c r="G98" s="451"/>
      <c r="H98" s="451"/>
    </row>
    <row r="99" spans="3:8" ht="20.100000000000001" customHeight="1">
      <c r="C99" s="451"/>
      <c r="D99" s="451"/>
      <c r="E99" s="451"/>
      <c r="F99" s="451"/>
      <c r="G99" s="451"/>
      <c r="H99" s="451"/>
    </row>
    <row r="100" spans="3:8" ht="20.100000000000001" customHeight="1">
      <c r="C100" s="451"/>
      <c r="D100" s="451"/>
      <c r="E100" s="451"/>
      <c r="F100" s="451"/>
      <c r="G100" s="451"/>
      <c r="H100" s="451"/>
    </row>
    <row r="101" spans="3:8" ht="20.100000000000001" customHeight="1">
      <c r="C101" s="451"/>
      <c r="D101" s="451"/>
      <c r="E101" s="451"/>
      <c r="F101" s="451"/>
      <c r="G101" s="451"/>
      <c r="H101" s="451"/>
    </row>
    <row r="102" spans="3:8" ht="20.100000000000001" customHeight="1">
      <c r="C102" s="451"/>
      <c r="D102" s="451"/>
      <c r="E102" s="451"/>
      <c r="F102" s="451"/>
      <c r="G102" s="451"/>
      <c r="H102" s="451"/>
    </row>
    <row r="103" spans="3:8" ht="20.100000000000001" customHeight="1">
      <c r="C103" s="451"/>
      <c r="D103" s="451"/>
      <c r="E103" s="451"/>
      <c r="F103" s="451"/>
      <c r="G103" s="451"/>
      <c r="H103" s="451"/>
    </row>
    <row r="104" spans="3:8" ht="20.100000000000001" customHeight="1">
      <c r="C104" s="451"/>
      <c r="D104" s="451"/>
      <c r="E104" s="451"/>
      <c r="F104" s="451"/>
      <c r="G104" s="451"/>
      <c r="H104" s="451"/>
    </row>
    <row r="105" spans="3:8" ht="20.100000000000001" customHeight="1">
      <c r="C105" s="451"/>
      <c r="D105" s="451"/>
      <c r="E105" s="451"/>
      <c r="F105" s="451"/>
      <c r="G105" s="451"/>
      <c r="H105" s="451"/>
    </row>
    <row r="106" spans="3:8" ht="20.100000000000001" customHeight="1">
      <c r="C106" s="451"/>
      <c r="D106" s="451"/>
      <c r="E106" s="451"/>
      <c r="F106" s="451"/>
      <c r="G106" s="451"/>
      <c r="H106" s="451"/>
    </row>
    <row r="107" spans="3:8" ht="20.100000000000001" customHeight="1">
      <c r="C107" s="451"/>
      <c r="D107" s="451"/>
      <c r="E107" s="451"/>
      <c r="F107" s="451"/>
      <c r="G107" s="451"/>
      <c r="H107" s="451"/>
    </row>
    <row r="108" spans="3:8" ht="20.100000000000001" customHeight="1">
      <c r="C108" s="451"/>
      <c r="D108" s="451"/>
      <c r="E108" s="451"/>
      <c r="F108" s="451"/>
      <c r="G108" s="451"/>
      <c r="H108" s="451"/>
    </row>
  </sheetData>
  <mergeCells count="1">
    <mergeCell ref="B2:H2"/>
  </mergeCells>
  <pageMargins left="0.75000000000000011" right="0.75000000000000011" top="1" bottom="1" header="0.5" footer="0.5"/>
  <pageSetup paperSize="9" scale="62"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5">
    <tabColor rgb="FF0076BD"/>
    <pageSetUpPr fitToPage="1"/>
  </sheetPr>
  <dimension ref="B2:G60"/>
  <sheetViews>
    <sheetView showGridLines="0" view="pageBreakPreview" zoomScaleNormal="101" zoomScaleSheetLayoutView="100" zoomScalePageLayoutView="101" workbookViewId="0"/>
  </sheetViews>
  <sheetFormatPr defaultColWidth="5.5" defaultRowHeight="20.100000000000001" customHeight="1"/>
  <cols>
    <col min="1" max="1" width="5.5" style="451"/>
    <col min="2" max="2" width="59" style="451" customWidth="1"/>
    <col min="3" max="5" width="10.5" style="451" customWidth="1"/>
    <col min="6" max="7" width="10.5" style="42" customWidth="1"/>
    <col min="8" max="11" width="5.5" style="451"/>
    <col min="12" max="12" width="10.375" style="451" customWidth="1"/>
    <col min="13" max="13" width="0" style="451" hidden="1" customWidth="1"/>
    <col min="14" max="16384" width="5.5" style="451"/>
  </cols>
  <sheetData>
    <row r="2" spans="2:7" ht="20.100000000000001" customHeight="1">
      <c r="B2" s="1156" t="str">
        <f>UPPER("Consolidated balance sheet")</f>
        <v>CONSOLIDATED BALANCE SHEET</v>
      </c>
      <c r="C2" s="1156"/>
      <c r="D2" s="1156"/>
      <c r="E2" s="1156"/>
      <c r="F2" s="1156"/>
      <c r="G2" s="1156"/>
    </row>
    <row r="4" spans="2:7" ht="20.100000000000001" customHeight="1">
      <c r="B4" s="21" t="s">
        <v>45</v>
      </c>
      <c r="C4" s="21"/>
      <c r="D4" s="21"/>
      <c r="F4" s="451"/>
      <c r="G4" s="451"/>
    </row>
    <row r="5" spans="2:7" ht="20.100000000000001" customHeight="1">
      <c r="B5" s="22" t="s">
        <v>13</v>
      </c>
      <c r="C5" s="333">
        <v>2017</v>
      </c>
      <c r="D5" s="333">
        <v>2016</v>
      </c>
      <c r="E5" s="333">
        <v>2015</v>
      </c>
      <c r="F5" s="333">
        <v>2014</v>
      </c>
      <c r="G5" s="333">
        <v>2013</v>
      </c>
    </row>
    <row r="6" spans="2:7" ht="20.100000000000001" customHeight="1">
      <c r="B6" s="43" t="s">
        <v>52</v>
      </c>
      <c r="C6" s="43"/>
      <c r="D6" s="43"/>
      <c r="E6" s="337"/>
      <c r="F6" s="337"/>
      <c r="G6" s="337"/>
    </row>
    <row r="7" spans="2:7" ht="20.100000000000001" customHeight="1">
      <c r="B7" s="15" t="s">
        <v>225</v>
      </c>
      <c r="C7" s="176"/>
      <c r="D7" s="125"/>
      <c r="E7" s="125"/>
      <c r="F7" s="125"/>
      <c r="G7" s="348"/>
    </row>
    <row r="8" spans="2:7" ht="20.100000000000001" customHeight="1">
      <c r="B8" s="363" t="s">
        <v>178</v>
      </c>
      <c r="C8" s="186">
        <v>14587</v>
      </c>
      <c r="D8" s="118">
        <v>15362</v>
      </c>
      <c r="E8" s="118">
        <v>14549</v>
      </c>
      <c r="F8" s="118">
        <v>14682</v>
      </c>
      <c r="G8" s="366">
        <v>18395</v>
      </c>
    </row>
    <row r="9" spans="2:7" ht="20.100000000000001" customHeight="1">
      <c r="B9" s="363" t="s">
        <v>53</v>
      </c>
      <c r="C9" s="186">
        <v>109397</v>
      </c>
      <c r="D9" s="118">
        <v>111971</v>
      </c>
      <c r="E9" s="118">
        <v>109518</v>
      </c>
      <c r="F9" s="118">
        <v>106876</v>
      </c>
      <c r="G9" s="366">
        <v>104480</v>
      </c>
    </row>
    <row r="10" spans="2:7" ht="20.100000000000001" customHeight="1">
      <c r="B10" s="363" t="s">
        <v>54</v>
      </c>
      <c r="C10" s="186">
        <v>22103</v>
      </c>
      <c r="D10" s="118">
        <v>20576</v>
      </c>
      <c r="E10" s="118">
        <v>19384</v>
      </c>
      <c r="F10" s="118">
        <v>19274</v>
      </c>
      <c r="G10" s="366">
        <v>20417</v>
      </c>
    </row>
    <row r="11" spans="2:7" ht="20.100000000000001" customHeight="1">
      <c r="B11" s="363" t="s">
        <v>55</v>
      </c>
      <c r="C11" s="186">
        <v>1726.9999999999995</v>
      </c>
      <c r="D11" s="118">
        <v>1133</v>
      </c>
      <c r="E11" s="118">
        <v>1241</v>
      </c>
      <c r="F11" s="118">
        <v>1399</v>
      </c>
      <c r="G11" s="366">
        <v>1666</v>
      </c>
    </row>
    <row r="12" spans="2:7" ht="20.100000000000001" customHeight="1">
      <c r="B12" s="363" t="s">
        <v>245</v>
      </c>
      <c r="C12" s="186">
        <v>679</v>
      </c>
      <c r="D12" s="118">
        <v>908</v>
      </c>
      <c r="E12" s="118">
        <v>1219</v>
      </c>
      <c r="F12" s="118">
        <v>1319</v>
      </c>
      <c r="G12" s="366">
        <v>1418</v>
      </c>
    </row>
    <row r="13" spans="2:7" ht="20.100000000000001" customHeight="1">
      <c r="B13" s="363" t="s">
        <v>46</v>
      </c>
      <c r="C13" s="186">
        <v>5206</v>
      </c>
      <c r="D13" s="118">
        <v>4368</v>
      </c>
      <c r="E13" s="118">
        <v>3982</v>
      </c>
      <c r="F13" s="118">
        <v>4079</v>
      </c>
      <c r="G13" s="366">
        <v>3838</v>
      </c>
    </row>
    <row r="14" spans="2:7" ht="20.100000000000001" customHeight="1">
      <c r="B14" s="365" t="s">
        <v>56</v>
      </c>
      <c r="C14" s="188">
        <v>3984</v>
      </c>
      <c r="D14" s="338">
        <v>4143</v>
      </c>
      <c r="E14" s="338">
        <v>4355</v>
      </c>
      <c r="F14" s="338">
        <v>4192</v>
      </c>
      <c r="G14" s="367">
        <v>4406</v>
      </c>
    </row>
    <row r="15" spans="2:7" ht="20.100000000000001" customHeight="1">
      <c r="B15" s="523" t="s">
        <v>57</v>
      </c>
      <c r="C15" s="436">
        <v>157683</v>
      </c>
      <c r="D15" s="521">
        <v>158461</v>
      </c>
      <c r="E15" s="521">
        <v>154248</v>
      </c>
      <c r="F15" s="521">
        <v>151821</v>
      </c>
      <c r="G15" s="344">
        <v>154620</v>
      </c>
    </row>
    <row r="16" spans="2:7" ht="20.100000000000001" customHeight="1">
      <c r="B16" s="15" t="s">
        <v>58</v>
      </c>
      <c r="C16" s="195"/>
      <c r="D16" s="118"/>
      <c r="E16" s="118"/>
      <c r="F16" s="118"/>
      <c r="G16" s="366"/>
    </row>
    <row r="17" spans="2:7" ht="20.100000000000001" customHeight="1">
      <c r="B17" s="363" t="s">
        <v>179</v>
      </c>
      <c r="C17" s="186">
        <v>16520.000000000004</v>
      </c>
      <c r="D17" s="118">
        <v>15247</v>
      </c>
      <c r="E17" s="118">
        <v>13116</v>
      </c>
      <c r="F17" s="118">
        <v>15196</v>
      </c>
      <c r="G17" s="366">
        <v>22097</v>
      </c>
    </row>
    <row r="18" spans="2:7" ht="20.100000000000001" customHeight="1">
      <c r="B18" s="363" t="s">
        <v>59</v>
      </c>
      <c r="C18" s="186">
        <v>14893</v>
      </c>
      <c r="D18" s="118">
        <v>12213</v>
      </c>
      <c r="E18" s="118">
        <v>10629</v>
      </c>
      <c r="F18" s="118">
        <v>15704</v>
      </c>
      <c r="G18" s="366">
        <v>23422</v>
      </c>
    </row>
    <row r="19" spans="2:7" ht="20.100000000000001" customHeight="1">
      <c r="B19" s="363" t="s">
        <v>60</v>
      </c>
      <c r="C19" s="186">
        <v>14210</v>
      </c>
      <c r="D19" s="118">
        <v>14835</v>
      </c>
      <c r="E19" s="118">
        <v>15843</v>
      </c>
      <c r="F19" s="118">
        <v>15702</v>
      </c>
      <c r="G19" s="366">
        <v>14892</v>
      </c>
    </row>
    <row r="20" spans="2:7" ht="20.100000000000001" customHeight="1">
      <c r="B20" s="363" t="s">
        <v>61</v>
      </c>
      <c r="C20" s="186">
        <v>3393</v>
      </c>
      <c r="D20" s="118">
        <v>4548</v>
      </c>
      <c r="E20" s="118">
        <v>6190</v>
      </c>
      <c r="F20" s="118">
        <v>1293</v>
      </c>
      <c r="G20" s="366">
        <v>739</v>
      </c>
    </row>
    <row r="21" spans="2:7" ht="20.100000000000001" customHeight="1">
      <c r="B21" s="363" t="s">
        <v>62</v>
      </c>
      <c r="C21" s="186">
        <v>33185</v>
      </c>
      <c r="D21" s="118">
        <v>24597</v>
      </c>
      <c r="E21" s="118">
        <v>23269</v>
      </c>
      <c r="F21" s="118">
        <v>25181</v>
      </c>
      <c r="G21" s="366">
        <v>20200</v>
      </c>
    </row>
    <row r="22" spans="2:7" ht="20.100000000000001" customHeight="1">
      <c r="B22" s="365" t="s">
        <v>63</v>
      </c>
      <c r="C22" s="186" t="s">
        <v>340</v>
      </c>
      <c r="D22" s="338" t="s">
        <v>339</v>
      </c>
      <c r="E22" s="338" t="s">
        <v>338</v>
      </c>
      <c r="F22" s="338" t="s">
        <v>337</v>
      </c>
      <c r="G22" s="338" t="s">
        <v>336</v>
      </c>
    </row>
    <row r="23" spans="2:7" ht="20.100000000000001" customHeight="1">
      <c r="B23" s="523" t="s">
        <v>64</v>
      </c>
      <c r="C23" s="436">
        <v>84948</v>
      </c>
      <c r="D23" s="344">
        <v>72517</v>
      </c>
      <c r="E23" s="344">
        <v>70236</v>
      </c>
      <c r="F23" s="344">
        <v>77977</v>
      </c>
      <c r="G23" s="344">
        <v>84603</v>
      </c>
    </row>
    <row r="24" spans="2:7" ht="20.100000000000001" customHeight="1">
      <c r="B24" s="45" t="s">
        <v>152</v>
      </c>
      <c r="C24" s="343">
        <v>242631</v>
      </c>
      <c r="D24" s="349">
        <v>230978</v>
      </c>
      <c r="E24" s="349">
        <v>224484</v>
      </c>
      <c r="F24" s="349">
        <v>229798</v>
      </c>
      <c r="G24" s="349">
        <v>239223</v>
      </c>
    </row>
    <row r="25" spans="2:7" ht="20.100000000000001" customHeight="1">
      <c r="B25" s="43" t="s">
        <v>200</v>
      </c>
      <c r="C25" s="196"/>
      <c r="D25" s="336"/>
      <c r="E25" s="336"/>
      <c r="F25" s="336"/>
      <c r="G25" s="336"/>
    </row>
    <row r="26" spans="2:7" ht="20.100000000000001" customHeight="1">
      <c r="B26" s="15" t="s">
        <v>201</v>
      </c>
      <c r="C26" s="195"/>
      <c r="D26" s="118"/>
      <c r="E26" s="118"/>
      <c r="F26" s="118"/>
      <c r="G26" s="366"/>
    </row>
    <row r="27" spans="2:7" ht="20.100000000000001" customHeight="1">
      <c r="B27" s="363" t="s">
        <v>180</v>
      </c>
      <c r="C27" s="186">
        <v>7882</v>
      </c>
      <c r="D27" s="118">
        <v>7604</v>
      </c>
      <c r="E27" s="118">
        <v>7670</v>
      </c>
      <c r="F27" s="118">
        <v>7518</v>
      </c>
      <c r="G27" s="366">
        <v>7493</v>
      </c>
    </row>
    <row r="28" spans="2:7" ht="20.100000000000001" customHeight="1">
      <c r="B28" s="363" t="s">
        <v>65</v>
      </c>
      <c r="C28" s="186">
        <v>112040</v>
      </c>
      <c r="D28" s="118">
        <v>105547</v>
      </c>
      <c r="E28" s="118">
        <v>101528</v>
      </c>
      <c r="F28" s="118">
        <v>94646</v>
      </c>
      <c r="G28" s="366">
        <v>98254</v>
      </c>
    </row>
    <row r="29" spans="2:7" ht="20.100000000000001" customHeight="1">
      <c r="B29" s="363" t="s">
        <v>66</v>
      </c>
      <c r="C29" s="186">
        <v>-7907.9999999999991</v>
      </c>
      <c r="D29" s="118">
        <v>-13871</v>
      </c>
      <c r="E29" s="118">
        <v>-12119</v>
      </c>
      <c r="F29" s="118">
        <v>-7480</v>
      </c>
      <c r="G29" s="366">
        <v>-1203</v>
      </c>
    </row>
    <row r="30" spans="2:7" ht="20.100000000000001" customHeight="1">
      <c r="B30" s="365" t="s">
        <v>67</v>
      </c>
      <c r="C30" s="188">
        <v>-458</v>
      </c>
      <c r="D30" s="338">
        <v>-600</v>
      </c>
      <c r="E30" s="338">
        <v>-4585</v>
      </c>
      <c r="F30" s="338">
        <v>-4354</v>
      </c>
      <c r="G30" s="367">
        <v>-4303</v>
      </c>
    </row>
    <row r="31" spans="2:7" ht="20.100000000000001" customHeight="1">
      <c r="B31" s="523" t="s">
        <v>153</v>
      </c>
      <c r="C31" s="522">
        <v>111556</v>
      </c>
      <c r="D31" s="521">
        <v>98680</v>
      </c>
      <c r="E31" s="521">
        <v>92494</v>
      </c>
      <c r="F31" s="521">
        <v>90330</v>
      </c>
      <c r="G31" s="344">
        <v>100241</v>
      </c>
    </row>
    <row r="32" spans="2:7" ht="20.100000000000001" customHeight="1">
      <c r="B32" s="365" t="s">
        <v>79</v>
      </c>
      <c r="C32" s="188">
        <v>2481</v>
      </c>
      <c r="D32" s="338">
        <v>2894</v>
      </c>
      <c r="E32" s="338">
        <v>2915</v>
      </c>
      <c r="F32" s="338">
        <v>3201</v>
      </c>
      <c r="G32" s="367">
        <v>3138</v>
      </c>
    </row>
    <row r="33" spans="2:7" ht="20.100000000000001" customHeight="1">
      <c r="B33" s="523" t="s">
        <v>154</v>
      </c>
      <c r="C33" s="522">
        <v>114037</v>
      </c>
      <c r="D33" s="521">
        <v>101574</v>
      </c>
      <c r="E33" s="521">
        <v>95409</v>
      </c>
      <c r="F33" s="521">
        <v>93531</v>
      </c>
      <c r="G33" s="344">
        <v>103379</v>
      </c>
    </row>
    <row r="34" spans="2:7" ht="20.100000000000001" customHeight="1">
      <c r="B34" s="15" t="s">
        <v>68</v>
      </c>
      <c r="C34" s="197"/>
      <c r="D34" s="118"/>
      <c r="E34" s="118"/>
      <c r="F34" s="118"/>
      <c r="G34" s="366"/>
    </row>
    <row r="35" spans="2:7" ht="20.100000000000001" customHeight="1">
      <c r="B35" s="363" t="s">
        <v>46</v>
      </c>
      <c r="C35" s="186">
        <v>10828</v>
      </c>
      <c r="D35" s="118">
        <v>11060</v>
      </c>
      <c r="E35" s="118">
        <v>12360</v>
      </c>
      <c r="F35" s="118">
        <v>14810</v>
      </c>
      <c r="G35" s="366">
        <v>17850</v>
      </c>
    </row>
    <row r="36" spans="2:7" ht="20.100000000000001" customHeight="1">
      <c r="B36" s="363" t="s">
        <v>69</v>
      </c>
      <c r="C36" s="186">
        <v>3735.0000000000005</v>
      </c>
      <c r="D36" s="118">
        <v>3746</v>
      </c>
      <c r="E36" s="118">
        <v>3774</v>
      </c>
      <c r="F36" s="118">
        <v>4758</v>
      </c>
      <c r="G36" s="366">
        <v>4235</v>
      </c>
    </row>
    <row r="37" spans="2:7" ht="20.100000000000001" customHeight="1">
      <c r="B37" s="363" t="s">
        <v>70</v>
      </c>
      <c r="C37" s="186">
        <v>15986</v>
      </c>
      <c r="D37" s="118">
        <v>16846</v>
      </c>
      <c r="E37" s="118">
        <v>17502</v>
      </c>
      <c r="F37" s="118">
        <v>17545</v>
      </c>
      <c r="G37" s="366">
        <v>17517</v>
      </c>
    </row>
    <row r="38" spans="2:7" ht="20.100000000000001" customHeight="1">
      <c r="B38" s="365" t="s">
        <v>71</v>
      </c>
      <c r="C38" s="188">
        <v>41340</v>
      </c>
      <c r="D38" s="338">
        <v>43067</v>
      </c>
      <c r="E38" s="338">
        <v>44464</v>
      </c>
      <c r="F38" s="338">
        <v>45481</v>
      </c>
      <c r="G38" s="367">
        <v>34574</v>
      </c>
    </row>
    <row r="39" spans="2:7" ht="20.100000000000001" customHeight="1">
      <c r="B39" s="523" t="s">
        <v>72</v>
      </c>
      <c r="C39" s="522">
        <v>71889</v>
      </c>
      <c r="D39" s="521">
        <v>74719</v>
      </c>
      <c r="E39" s="521">
        <v>78100</v>
      </c>
      <c r="F39" s="521">
        <v>82594</v>
      </c>
      <c r="G39" s="344">
        <v>74176</v>
      </c>
    </row>
    <row r="40" spans="2:7" ht="20.100000000000001" customHeight="1">
      <c r="B40" s="15" t="s">
        <v>73</v>
      </c>
      <c r="C40" s="197"/>
      <c r="D40" s="118"/>
      <c r="E40" s="118"/>
      <c r="F40" s="118"/>
      <c r="G40" s="366"/>
    </row>
    <row r="41" spans="2:7" ht="20.100000000000001" customHeight="1">
      <c r="B41" s="363" t="s">
        <v>74</v>
      </c>
      <c r="C41" s="186">
        <v>26479</v>
      </c>
      <c r="D41" s="118">
        <v>23227</v>
      </c>
      <c r="E41" s="118">
        <v>20928</v>
      </c>
      <c r="F41" s="118">
        <v>24150</v>
      </c>
      <c r="G41" s="366">
        <v>30282</v>
      </c>
    </row>
    <row r="42" spans="2:7" ht="20.100000000000001" customHeight="1">
      <c r="B42" s="363" t="s">
        <v>75</v>
      </c>
      <c r="C42" s="186">
        <v>17779</v>
      </c>
      <c r="D42" s="118">
        <v>16720</v>
      </c>
      <c r="E42" s="118">
        <v>16884</v>
      </c>
      <c r="F42" s="118">
        <v>16641</v>
      </c>
      <c r="G42" s="366">
        <v>18948</v>
      </c>
    </row>
    <row r="43" spans="2:7" ht="20.100000000000001" customHeight="1">
      <c r="B43" s="363" t="s">
        <v>76</v>
      </c>
      <c r="C43" s="186">
        <v>11096</v>
      </c>
      <c r="D43" s="118">
        <v>13920</v>
      </c>
      <c r="E43" s="118">
        <v>12488</v>
      </c>
      <c r="F43" s="118">
        <v>10942</v>
      </c>
      <c r="G43" s="366">
        <v>11193</v>
      </c>
    </row>
    <row r="44" spans="2:7" ht="20.100000000000001" customHeight="1">
      <c r="B44" s="363" t="s">
        <v>77</v>
      </c>
      <c r="C44" s="186">
        <v>245</v>
      </c>
      <c r="D44" s="118">
        <v>327</v>
      </c>
      <c r="E44" s="118">
        <v>171</v>
      </c>
      <c r="F44" s="118">
        <v>180</v>
      </c>
      <c r="G44" s="366">
        <v>381</v>
      </c>
    </row>
    <row r="45" spans="2:7" ht="20.100000000000001" customHeight="1">
      <c r="B45" s="365" t="s">
        <v>240</v>
      </c>
      <c r="C45" s="186" t="s">
        <v>335</v>
      </c>
      <c r="D45" s="118" t="s">
        <v>334</v>
      </c>
      <c r="E45" s="118" t="s">
        <v>333</v>
      </c>
      <c r="F45" s="118" t="s">
        <v>332</v>
      </c>
      <c r="G45" s="309" t="s">
        <v>331</v>
      </c>
    </row>
    <row r="46" spans="2:7" ht="20.100000000000001" customHeight="1">
      <c r="B46" s="523" t="s">
        <v>78</v>
      </c>
      <c r="C46" s="522">
        <v>56705</v>
      </c>
      <c r="D46" s="521">
        <v>54685</v>
      </c>
      <c r="E46" s="521">
        <v>50975</v>
      </c>
      <c r="F46" s="521">
        <v>53673</v>
      </c>
      <c r="G46" s="344">
        <v>61668</v>
      </c>
    </row>
    <row r="47" spans="2:7" ht="20.100000000000001" customHeight="1">
      <c r="B47" s="45" t="s">
        <v>241</v>
      </c>
      <c r="C47" s="343">
        <v>242631</v>
      </c>
      <c r="D47" s="349">
        <v>230978</v>
      </c>
      <c r="E47" s="349">
        <v>224484</v>
      </c>
      <c r="F47" s="349">
        <v>229798</v>
      </c>
      <c r="G47" s="349">
        <v>239223</v>
      </c>
    </row>
    <row r="49" spans="2:7" ht="30" customHeight="1">
      <c r="B49" s="519" t="s">
        <v>330</v>
      </c>
      <c r="C49" s="463"/>
      <c r="D49" s="463"/>
      <c r="E49" s="463"/>
      <c r="F49" s="520"/>
      <c r="G49" s="520"/>
    </row>
    <row r="50" spans="2:7" ht="23.25">
      <c r="B50" s="519" t="s">
        <v>329</v>
      </c>
      <c r="C50" s="463"/>
      <c r="D50" s="463"/>
      <c r="E50" s="463"/>
      <c r="F50" s="520"/>
      <c r="G50" s="520"/>
    </row>
    <row r="51" spans="2:7" ht="15.75">
      <c r="B51" s="519" t="s">
        <v>328</v>
      </c>
      <c r="C51" s="519"/>
      <c r="D51" s="519"/>
      <c r="E51" s="519"/>
      <c r="F51" s="519"/>
      <c r="G51" s="519"/>
    </row>
    <row r="52" spans="2:7" ht="20.100000000000001" customHeight="1">
      <c r="B52" s="1170" t="s">
        <v>327</v>
      </c>
      <c r="C52" s="1170"/>
      <c r="D52" s="1170"/>
      <c r="E52" s="1170"/>
      <c r="F52" s="1170"/>
      <c r="G52" s="1170"/>
    </row>
    <row r="53" spans="2:7" ht="26.25" customHeight="1">
      <c r="B53" s="1170" t="s">
        <v>326</v>
      </c>
      <c r="C53" s="1170"/>
      <c r="D53" s="1170"/>
      <c r="E53" s="1170"/>
      <c r="F53" s="1170"/>
      <c r="G53" s="1170"/>
    </row>
    <row r="54" spans="2:7" ht="38.25" customHeight="1">
      <c r="B54" s="1170" t="s">
        <v>325</v>
      </c>
      <c r="C54" s="1170"/>
      <c r="D54" s="1170"/>
      <c r="E54" s="1170"/>
      <c r="F54" s="1170"/>
      <c r="G54" s="1170"/>
    </row>
    <row r="55" spans="2:7" ht="33.75" customHeight="1">
      <c r="B55" s="1170" t="s">
        <v>324</v>
      </c>
      <c r="C55" s="1170"/>
      <c r="D55" s="1170"/>
      <c r="E55" s="1170"/>
      <c r="F55" s="1170"/>
      <c r="G55" s="1170"/>
    </row>
    <row r="56" spans="2:7" ht="42.75" customHeight="1">
      <c r="B56" s="1170" t="s">
        <v>323</v>
      </c>
      <c r="C56" s="1170"/>
      <c r="D56" s="1170"/>
      <c r="E56" s="1170"/>
      <c r="F56" s="1170"/>
      <c r="G56" s="1170"/>
    </row>
    <row r="57" spans="2:7" ht="30" customHeight="1">
      <c r="B57" s="1170" t="s">
        <v>322</v>
      </c>
      <c r="C57" s="1170"/>
      <c r="D57" s="1170"/>
      <c r="E57" s="1170"/>
      <c r="F57" s="1170"/>
      <c r="G57" s="1170"/>
    </row>
    <row r="58" spans="2:7" ht="35.25" customHeight="1">
      <c r="B58" s="1170" t="s">
        <v>321</v>
      </c>
      <c r="C58" s="1170"/>
      <c r="D58" s="1170"/>
      <c r="E58" s="1170"/>
      <c r="F58" s="1170"/>
      <c r="G58" s="1170"/>
    </row>
    <row r="59" spans="2:7" ht="45.75" customHeight="1">
      <c r="B59" s="1171"/>
      <c r="C59" s="1171"/>
      <c r="D59" s="1171"/>
      <c r="E59" s="1171"/>
      <c r="F59" s="1171"/>
      <c r="G59" s="1171"/>
    </row>
    <row r="60" spans="2:7" ht="45" customHeight="1">
      <c r="B60" s="1171"/>
      <c r="C60" s="1171"/>
      <c r="D60" s="1171"/>
      <c r="E60" s="1171"/>
      <c r="F60" s="1171"/>
      <c r="G60" s="1171"/>
    </row>
  </sheetData>
  <mergeCells count="10">
    <mergeCell ref="B57:G57"/>
    <mergeCell ref="B58:G58"/>
    <mergeCell ref="B59:G59"/>
    <mergeCell ref="B60:G60"/>
    <mergeCell ref="B2:G2"/>
    <mergeCell ref="B52:G52"/>
    <mergeCell ref="B53:G53"/>
    <mergeCell ref="B54:G54"/>
    <mergeCell ref="B55:G55"/>
    <mergeCell ref="B56:G56"/>
  </mergeCells>
  <pageMargins left="0.17" right="0.17" top="0.63" bottom="0.77" header="0.5" footer="0.5"/>
  <pageSetup paperSize="9" scale="5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6">
    <tabColor rgb="FF0076BD"/>
    <pageSetUpPr fitToPage="1"/>
  </sheetPr>
  <dimension ref="B2:L24"/>
  <sheetViews>
    <sheetView showGridLines="0" view="pageBreakPreview" zoomScaleNormal="115" zoomScaleSheetLayoutView="100" zoomScalePageLayoutView="115" workbookViewId="0">
      <selection activeCell="H17" sqref="H17"/>
    </sheetView>
  </sheetViews>
  <sheetFormatPr defaultColWidth="11" defaultRowHeight="20.100000000000001" customHeight="1"/>
  <cols>
    <col min="1" max="1" width="5.5" style="451" customWidth="1"/>
    <col min="2" max="2" width="26.125" style="451" customWidth="1"/>
    <col min="3" max="4" width="10.875" style="451" customWidth="1"/>
    <col min="5" max="11" width="11" style="42"/>
    <col min="12" max="12" width="10.375" style="42" customWidth="1"/>
    <col min="13" max="13" width="0" style="451" hidden="1" customWidth="1"/>
    <col min="14" max="16384" width="11" style="451"/>
  </cols>
  <sheetData>
    <row r="2" spans="2:12" ht="20.100000000000001" customHeight="1">
      <c r="B2" s="1156" t="str">
        <f>UPPER("Net tangible &amp; intangible assets by business segment")</f>
        <v>NET TANGIBLE &amp; INTANGIBLE ASSETS BY BUSINESS SEGMENT</v>
      </c>
      <c r="C2" s="1156"/>
      <c r="D2" s="1156"/>
      <c r="E2" s="1156"/>
      <c r="F2" s="1156"/>
      <c r="G2" s="1156"/>
    </row>
    <row r="3" spans="2:12" ht="20.100000000000001" customHeight="1">
      <c r="B3" s="449"/>
      <c r="C3" s="449"/>
      <c r="D3" s="449"/>
    </row>
    <row r="4" spans="2:12" ht="20.100000000000001" customHeight="1">
      <c r="B4" s="21" t="s">
        <v>45</v>
      </c>
      <c r="C4" s="340">
        <v>2017</v>
      </c>
      <c r="D4" s="340">
        <v>2016</v>
      </c>
      <c r="E4" s="346">
        <v>2015</v>
      </c>
      <c r="F4" s="340">
        <v>2014</v>
      </c>
      <c r="G4" s="340">
        <v>2013</v>
      </c>
      <c r="H4" s="451"/>
      <c r="I4" s="451"/>
      <c r="J4" s="451"/>
      <c r="K4" s="451"/>
      <c r="L4" s="451"/>
    </row>
    <row r="5" spans="2:12" ht="20.100000000000001" customHeight="1">
      <c r="B5" s="22" t="s">
        <v>13</v>
      </c>
      <c r="C5" s="428"/>
      <c r="D5" s="428"/>
      <c r="E5" s="428"/>
      <c r="F5" s="428"/>
      <c r="G5" s="428"/>
      <c r="H5" s="451"/>
      <c r="I5" s="451"/>
      <c r="J5" s="451"/>
      <c r="K5" s="451"/>
      <c r="L5" s="451"/>
    </row>
    <row r="6" spans="2:12" ht="20.100000000000001" customHeight="1">
      <c r="B6" s="530" t="s">
        <v>318</v>
      </c>
      <c r="C6" s="526">
        <f>SUM(C7:C8)</f>
        <v>103639</v>
      </c>
      <c r="D6" s="529">
        <v>109617</v>
      </c>
      <c r="E6" s="529">
        <v>108204</v>
      </c>
      <c r="F6" s="529">
        <v>105273</v>
      </c>
      <c r="G6" s="529">
        <v>103667</v>
      </c>
      <c r="H6" s="451"/>
      <c r="I6" s="303"/>
      <c r="J6" s="451"/>
      <c r="K6" s="451"/>
      <c r="L6" s="451"/>
    </row>
    <row r="7" spans="2:12" ht="20.100000000000001" customHeight="1">
      <c r="B7" s="509" t="s">
        <v>80</v>
      </c>
      <c r="C7" s="186">
        <v>91800</v>
      </c>
      <c r="D7" s="122">
        <v>96682</v>
      </c>
      <c r="E7" s="122">
        <v>95072</v>
      </c>
      <c r="F7" s="122">
        <v>92262</v>
      </c>
      <c r="G7" s="122">
        <v>87548</v>
      </c>
      <c r="H7" s="451"/>
      <c r="I7" s="451"/>
      <c r="J7" s="451"/>
      <c r="K7" s="451"/>
      <c r="L7" s="451"/>
    </row>
    <row r="8" spans="2:12" ht="20.100000000000001" customHeight="1">
      <c r="B8" s="508" t="s">
        <v>81</v>
      </c>
      <c r="C8" s="188">
        <v>11839</v>
      </c>
      <c r="D8" s="123">
        <v>12935</v>
      </c>
      <c r="E8" s="123">
        <v>13132</v>
      </c>
      <c r="F8" s="123">
        <v>13011</v>
      </c>
      <c r="G8" s="123">
        <v>16119</v>
      </c>
      <c r="H8" s="451"/>
      <c r="I8" s="451"/>
      <c r="J8" s="451"/>
      <c r="K8" s="451"/>
      <c r="L8" s="451"/>
    </row>
    <row r="9" spans="2:12" ht="20.100000000000001" customHeight="1">
      <c r="B9" s="528" t="s">
        <v>317</v>
      </c>
      <c r="C9" s="526">
        <f>SUM(C10:C11)</f>
        <v>2873</v>
      </c>
      <c r="D9" s="525">
        <v>2834</v>
      </c>
      <c r="E9" s="525">
        <v>1248</v>
      </c>
      <c r="F9" s="525"/>
      <c r="G9" s="525"/>
      <c r="H9" s="451"/>
      <c r="I9" s="303"/>
      <c r="J9" s="451"/>
      <c r="K9" s="451"/>
      <c r="L9" s="451"/>
    </row>
    <row r="10" spans="2:12" ht="20.100000000000001" customHeight="1">
      <c r="B10" s="509" t="s">
        <v>80</v>
      </c>
      <c r="C10" s="186">
        <v>1661</v>
      </c>
      <c r="D10" s="122">
        <v>1707</v>
      </c>
      <c r="E10" s="122">
        <v>1103</v>
      </c>
      <c r="F10" s="122"/>
      <c r="G10" s="122"/>
      <c r="H10" s="451"/>
      <c r="I10" s="451"/>
      <c r="J10" s="451"/>
      <c r="K10" s="451"/>
      <c r="L10" s="451"/>
    </row>
    <row r="11" spans="2:12" ht="20.100000000000001" customHeight="1">
      <c r="B11" s="365" t="s">
        <v>81</v>
      </c>
      <c r="C11" s="188">
        <v>1212</v>
      </c>
      <c r="D11" s="123">
        <v>1127</v>
      </c>
      <c r="E11" s="123">
        <v>145</v>
      </c>
      <c r="F11" s="123"/>
      <c r="G11" s="123"/>
      <c r="H11" s="451"/>
      <c r="I11" s="451"/>
      <c r="J11" s="451"/>
      <c r="K11" s="451"/>
      <c r="L11" s="451"/>
    </row>
    <row r="12" spans="2:12" ht="20.100000000000001" customHeight="1">
      <c r="B12" s="527" t="s">
        <v>146</v>
      </c>
      <c r="C12" s="526">
        <f>SUM(C13:C14)</f>
        <v>10820</v>
      </c>
      <c r="D12" s="525">
        <v>9293</v>
      </c>
      <c r="E12" s="525">
        <v>9317</v>
      </c>
      <c r="F12" s="525">
        <v>9512</v>
      </c>
      <c r="G12" s="525">
        <v>12407</v>
      </c>
      <c r="H12" s="451"/>
      <c r="J12" s="451"/>
      <c r="K12" s="451"/>
      <c r="L12" s="451"/>
    </row>
    <row r="13" spans="2:12" ht="20.100000000000001" customHeight="1">
      <c r="B13" s="363" t="s">
        <v>80</v>
      </c>
      <c r="C13" s="186">
        <v>10150</v>
      </c>
      <c r="D13" s="122">
        <v>8661</v>
      </c>
      <c r="E13" s="122">
        <v>8631</v>
      </c>
      <c r="F13" s="122">
        <v>8798</v>
      </c>
      <c r="G13" s="122">
        <v>10991</v>
      </c>
      <c r="H13" s="451"/>
      <c r="I13" s="451"/>
      <c r="J13" s="451"/>
      <c r="K13" s="451"/>
      <c r="L13" s="451"/>
    </row>
    <row r="14" spans="2:12" ht="20.100000000000001" customHeight="1">
      <c r="B14" s="365" t="s">
        <v>81</v>
      </c>
      <c r="C14" s="188">
        <v>670</v>
      </c>
      <c r="D14" s="123">
        <v>632</v>
      </c>
      <c r="E14" s="123">
        <v>686</v>
      </c>
      <c r="F14" s="123">
        <v>714</v>
      </c>
      <c r="G14" s="123">
        <v>1416</v>
      </c>
      <c r="H14" s="451"/>
      <c r="I14" s="451"/>
      <c r="J14" s="451"/>
      <c r="K14" s="451"/>
      <c r="L14" s="451"/>
    </row>
    <row r="15" spans="2:12" ht="20.100000000000001" customHeight="1">
      <c r="B15" s="527" t="s">
        <v>147</v>
      </c>
      <c r="C15" s="526">
        <f>SUM(C16:C17)</f>
        <v>6253</v>
      </c>
      <c r="D15" s="525">
        <v>5225</v>
      </c>
      <c r="E15" s="525">
        <v>4989</v>
      </c>
      <c r="F15" s="525">
        <v>6443</v>
      </c>
      <c r="G15" s="525">
        <v>6441</v>
      </c>
      <c r="H15" s="451"/>
      <c r="I15" s="451"/>
      <c r="J15" s="451"/>
      <c r="K15" s="451"/>
      <c r="L15" s="451"/>
    </row>
    <row r="16" spans="2:12" ht="20.100000000000001" customHeight="1">
      <c r="B16" s="363" t="s">
        <v>80</v>
      </c>
      <c r="C16" s="186">
        <v>5519</v>
      </c>
      <c r="D16" s="122">
        <v>4661</v>
      </c>
      <c r="E16" s="122">
        <v>4506</v>
      </c>
      <c r="F16" s="122">
        <v>5580</v>
      </c>
      <c r="G16" s="122">
        <v>5676</v>
      </c>
      <c r="H16" s="451"/>
      <c r="I16" s="451"/>
      <c r="J16" s="451"/>
      <c r="K16" s="451"/>
      <c r="L16" s="451"/>
    </row>
    <row r="17" spans="2:12" ht="20.100000000000001" customHeight="1">
      <c r="B17" s="365" t="s">
        <v>81</v>
      </c>
      <c r="C17" s="188">
        <v>734</v>
      </c>
      <c r="D17" s="123">
        <v>564</v>
      </c>
      <c r="E17" s="123">
        <v>483</v>
      </c>
      <c r="F17" s="123">
        <v>863</v>
      </c>
      <c r="G17" s="123">
        <v>765</v>
      </c>
      <c r="H17" s="451"/>
      <c r="I17" s="451"/>
      <c r="J17" s="451"/>
      <c r="K17" s="451"/>
      <c r="L17" s="451"/>
    </row>
    <row r="18" spans="2:12" ht="20.100000000000001" customHeight="1">
      <c r="B18" s="527" t="s">
        <v>35</v>
      </c>
      <c r="C18" s="526">
        <f>SUM(C19:C20)</f>
        <v>399</v>
      </c>
      <c r="D18" s="525">
        <v>364</v>
      </c>
      <c r="E18" s="525">
        <v>309</v>
      </c>
      <c r="F18" s="525">
        <v>330</v>
      </c>
      <c r="G18" s="525">
        <v>360</v>
      </c>
      <c r="H18" s="451"/>
      <c r="I18" s="451"/>
      <c r="J18" s="451"/>
      <c r="K18" s="451"/>
      <c r="L18" s="451"/>
    </row>
    <row r="19" spans="2:12" ht="20.100000000000001" customHeight="1">
      <c r="B19" s="363" t="s">
        <v>80</v>
      </c>
      <c r="C19" s="186">
        <v>267</v>
      </c>
      <c r="D19" s="122">
        <v>260</v>
      </c>
      <c r="E19" s="122">
        <v>206</v>
      </c>
      <c r="F19" s="122">
        <v>236</v>
      </c>
      <c r="G19" s="122">
        <v>265</v>
      </c>
      <c r="H19" s="451"/>
      <c r="I19" s="451"/>
      <c r="J19" s="451"/>
      <c r="K19" s="451"/>
      <c r="L19" s="451"/>
    </row>
    <row r="20" spans="2:12" ht="20.100000000000001" customHeight="1">
      <c r="B20" s="365" t="s">
        <v>81</v>
      </c>
      <c r="C20" s="188">
        <v>132</v>
      </c>
      <c r="D20" s="123">
        <v>104</v>
      </c>
      <c r="E20" s="123">
        <v>103</v>
      </c>
      <c r="F20" s="123">
        <v>94</v>
      </c>
      <c r="G20" s="123">
        <v>95</v>
      </c>
      <c r="H20" s="451"/>
      <c r="I20" s="451"/>
      <c r="J20" s="451"/>
      <c r="K20" s="451"/>
      <c r="L20" s="451"/>
    </row>
    <row r="21" spans="2:12" ht="20.100000000000001" customHeight="1">
      <c r="B21" s="20" t="s">
        <v>36</v>
      </c>
      <c r="C21" s="35">
        <v>123984</v>
      </c>
      <c r="D21" s="429">
        <v>127333</v>
      </c>
      <c r="E21" s="429">
        <v>124067</v>
      </c>
      <c r="F21" s="429">
        <v>121558</v>
      </c>
      <c r="G21" s="429">
        <v>122875</v>
      </c>
      <c r="H21" s="451"/>
      <c r="I21" s="451"/>
      <c r="J21" s="451"/>
      <c r="K21" s="451"/>
      <c r="L21" s="451"/>
    </row>
    <row r="22" spans="2:12" ht="20.100000000000001" customHeight="1">
      <c r="B22" s="524"/>
      <c r="H22" s="451"/>
      <c r="I22" s="451"/>
      <c r="J22" s="451"/>
      <c r="K22" s="451"/>
      <c r="L22" s="451"/>
    </row>
    <row r="23" spans="2:12" ht="20.100000000000001" customHeight="1">
      <c r="H23" s="451"/>
      <c r="I23" s="451"/>
      <c r="J23" s="451"/>
      <c r="K23" s="451"/>
      <c r="L23" s="451"/>
    </row>
    <row r="24" spans="2:12" ht="20.100000000000001" customHeight="1">
      <c r="H24" s="451"/>
      <c r="I24" s="451"/>
      <c r="J24" s="451"/>
      <c r="K24" s="451"/>
      <c r="L24" s="451"/>
    </row>
  </sheetData>
  <mergeCells count="1">
    <mergeCell ref="B2:G2"/>
  </mergeCells>
  <pageMargins left="0.75000000000000011" right="0.75000000000000011" top="1" bottom="1" header="0.5" footer="0.5"/>
  <pageSetup paperSize="9" scale="91"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7">
    <tabColor rgb="FF0076BD"/>
    <pageSetUpPr fitToPage="1"/>
  </sheetPr>
  <dimension ref="B2:M20"/>
  <sheetViews>
    <sheetView showGridLines="0" view="pageBreakPreview" zoomScaleNormal="85" zoomScaleSheetLayoutView="100" zoomScalePageLayoutView="85" workbookViewId="0">
      <selection activeCell="H17" sqref="H17"/>
    </sheetView>
  </sheetViews>
  <sheetFormatPr defaultColWidth="11" defaultRowHeight="20.100000000000001" customHeight="1"/>
  <cols>
    <col min="1" max="1" width="5.5" style="451" customWidth="1"/>
    <col min="2" max="2" width="59" style="451" customWidth="1"/>
    <col min="3" max="4" width="10.5" style="451" customWidth="1"/>
    <col min="5" max="11" width="10.5" style="42" customWidth="1"/>
    <col min="12" max="12" width="10.375" style="42" customWidth="1"/>
    <col min="13" max="13" width="10.5" style="42" hidden="1" customWidth="1"/>
    <col min="14" max="16384" width="11" style="451"/>
  </cols>
  <sheetData>
    <row r="2" spans="2:13" ht="20.100000000000001" customHeight="1">
      <c r="B2" s="1156" t="str">
        <f>UPPER("Property, plant &amp; equipment")</f>
        <v>PROPERTY, PLANT &amp; EQUIPMENT</v>
      </c>
      <c r="C2" s="1156"/>
      <c r="D2" s="1156"/>
      <c r="E2" s="1156"/>
      <c r="F2" s="1156"/>
      <c r="G2" s="1156"/>
      <c r="H2" s="1156"/>
      <c r="I2" s="1156"/>
      <c r="J2" s="1156"/>
      <c r="K2" s="1156"/>
      <c r="L2" s="1156"/>
      <c r="M2" s="1156"/>
    </row>
    <row r="3" spans="2:13" ht="20.100000000000001" customHeight="1">
      <c r="B3" s="449"/>
      <c r="C3" s="449"/>
      <c r="D3" s="449"/>
    </row>
    <row r="4" spans="2:13" ht="20.100000000000001" customHeight="1">
      <c r="D4" s="1172"/>
      <c r="E4" s="1172"/>
      <c r="F4" s="1172"/>
      <c r="G4" s="1172"/>
      <c r="H4" s="1172"/>
      <c r="I4" s="1172"/>
      <c r="J4" s="1172"/>
      <c r="K4" s="1172"/>
      <c r="L4" s="1172"/>
      <c r="M4" s="453"/>
    </row>
    <row r="5" spans="2:13" ht="20.100000000000001" customHeight="1">
      <c r="B5" s="21" t="s">
        <v>45</v>
      </c>
      <c r="C5" s="340">
        <v>2017</v>
      </c>
      <c r="D5" s="340">
        <v>2016</v>
      </c>
      <c r="E5" s="340">
        <v>2015</v>
      </c>
      <c r="F5" s="340">
        <v>2014</v>
      </c>
      <c r="G5" s="340">
        <v>2013</v>
      </c>
      <c r="H5" s="451"/>
      <c r="I5" s="451"/>
      <c r="J5" s="451"/>
      <c r="K5" s="451"/>
      <c r="L5" s="451"/>
      <c r="M5" s="451"/>
    </row>
    <row r="6" spans="2:13" ht="20.100000000000001" customHeight="1">
      <c r="B6" s="22" t="s">
        <v>13</v>
      </c>
      <c r="C6" s="428"/>
      <c r="D6" s="428"/>
      <c r="E6" s="428"/>
      <c r="F6" s="428"/>
      <c r="G6" s="428"/>
      <c r="H6" s="451"/>
      <c r="I6" s="451"/>
      <c r="J6" s="451"/>
      <c r="K6" s="451"/>
      <c r="L6" s="451"/>
      <c r="M6" s="451"/>
    </row>
    <row r="7" spans="2:13" ht="20.100000000000001" customHeight="1">
      <c r="B7" s="363" t="s">
        <v>181</v>
      </c>
      <c r="C7" s="186">
        <v>62223</v>
      </c>
      <c r="D7" s="122">
        <v>62901</v>
      </c>
      <c r="E7" s="122">
        <v>58687</v>
      </c>
      <c r="F7" s="122">
        <v>52968</v>
      </c>
      <c r="G7" s="26">
        <v>51089</v>
      </c>
      <c r="H7" s="451"/>
      <c r="I7" s="451"/>
      <c r="J7" s="451"/>
      <c r="K7" s="451"/>
      <c r="L7" s="451"/>
      <c r="M7" s="451"/>
    </row>
    <row r="8" spans="2:13" ht="20.100000000000001" customHeight="1">
      <c r="B8" s="363" t="s">
        <v>82</v>
      </c>
      <c r="C8" s="186">
        <v>1828</v>
      </c>
      <c r="D8" s="122">
        <v>1996</v>
      </c>
      <c r="E8" s="122">
        <v>2423</v>
      </c>
      <c r="F8" s="122">
        <v>2153</v>
      </c>
      <c r="G8" s="26">
        <v>1432</v>
      </c>
      <c r="H8" s="451"/>
      <c r="I8" s="451"/>
      <c r="J8" s="451"/>
      <c r="K8" s="451"/>
      <c r="L8" s="451"/>
      <c r="M8" s="451"/>
    </row>
    <row r="9" spans="2:13" ht="20.100000000000001" customHeight="1">
      <c r="B9" s="365" t="s">
        <v>83</v>
      </c>
      <c r="C9" s="188">
        <v>27749</v>
      </c>
      <c r="D9" s="123">
        <v>31785</v>
      </c>
      <c r="E9" s="123">
        <v>33962</v>
      </c>
      <c r="F9" s="123">
        <v>37124</v>
      </c>
      <c r="G9" s="29">
        <v>34612</v>
      </c>
      <c r="H9" s="451"/>
      <c r="I9" s="451"/>
      <c r="J9" s="451"/>
      <c r="K9" s="451"/>
      <c r="L9" s="451"/>
      <c r="M9" s="451"/>
    </row>
    <row r="10" spans="2:13" ht="20.100000000000001" customHeight="1">
      <c r="B10" s="523" t="s">
        <v>342</v>
      </c>
      <c r="C10" s="436">
        <v>91800</v>
      </c>
      <c r="D10" s="344">
        <v>96682</v>
      </c>
      <c r="E10" s="344">
        <v>95072</v>
      </c>
      <c r="F10" s="344">
        <v>92245</v>
      </c>
      <c r="G10" s="344">
        <v>87133</v>
      </c>
      <c r="H10" s="451"/>
      <c r="I10" s="451"/>
      <c r="J10" s="451"/>
      <c r="K10" s="451"/>
      <c r="L10" s="451"/>
      <c r="M10" s="451"/>
    </row>
    <row r="11" spans="2:13" ht="20.100000000000001" customHeight="1">
      <c r="B11" s="363" t="s">
        <v>84</v>
      </c>
      <c r="C11" s="186">
        <v>1157</v>
      </c>
      <c r="D11" s="122">
        <v>1011</v>
      </c>
      <c r="E11" s="122">
        <v>970</v>
      </c>
      <c r="F11" s="122">
        <v>1070</v>
      </c>
      <c r="G11" s="26">
        <v>1264</v>
      </c>
      <c r="H11" s="451"/>
      <c r="I11" s="451"/>
      <c r="J11" s="451"/>
      <c r="K11" s="451"/>
      <c r="L11" s="451"/>
      <c r="M11" s="451"/>
    </row>
    <row r="12" spans="2:13" ht="20.100000000000001" customHeight="1">
      <c r="B12" s="363" t="s">
        <v>175</v>
      </c>
      <c r="C12" s="186">
        <v>7780</v>
      </c>
      <c r="D12" s="122">
        <v>5680</v>
      </c>
      <c r="E12" s="122">
        <v>5748</v>
      </c>
      <c r="F12" s="122">
        <v>6092</v>
      </c>
      <c r="G12" s="26">
        <v>8312</v>
      </c>
      <c r="H12" s="451"/>
      <c r="I12" s="451"/>
      <c r="J12" s="451"/>
      <c r="K12" s="451"/>
      <c r="L12" s="451"/>
      <c r="M12" s="451"/>
    </row>
    <row r="13" spans="2:13" ht="20.100000000000001" customHeight="1">
      <c r="B13" s="363" t="s">
        <v>85</v>
      </c>
      <c r="C13" s="186">
        <v>3344</v>
      </c>
      <c r="D13" s="122">
        <v>2998</v>
      </c>
      <c r="E13" s="122">
        <v>2637</v>
      </c>
      <c r="F13" s="122">
        <v>2850</v>
      </c>
      <c r="G13" s="26">
        <v>3180</v>
      </c>
      <c r="H13" s="451"/>
      <c r="I13" s="451"/>
      <c r="J13" s="451"/>
      <c r="K13" s="451"/>
      <c r="L13" s="451"/>
      <c r="M13" s="451"/>
    </row>
    <row r="14" spans="2:13" ht="20.100000000000001" customHeight="1">
      <c r="B14" s="365" t="s">
        <v>86</v>
      </c>
      <c r="C14" s="188">
        <v>2309</v>
      </c>
      <c r="D14" s="123">
        <v>2770</v>
      </c>
      <c r="E14" s="123">
        <v>2577</v>
      </c>
      <c r="F14" s="123">
        <v>2043</v>
      </c>
      <c r="G14" s="29">
        <v>1853</v>
      </c>
      <c r="H14" s="451"/>
      <c r="I14" s="451"/>
      <c r="J14" s="451"/>
      <c r="K14" s="451"/>
      <c r="L14" s="451"/>
      <c r="M14" s="451"/>
    </row>
    <row r="15" spans="2:13" ht="20.100000000000001" customHeight="1">
      <c r="B15" s="225" t="s">
        <v>87</v>
      </c>
      <c r="C15" s="226">
        <v>3007</v>
      </c>
      <c r="D15" s="227">
        <v>2830</v>
      </c>
      <c r="E15" s="227">
        <v>2514</v>
      </c>
      <c r="F15" s="227">
        <v>2576</v>
      </c>
      <c r="G15" s="228">
        <v>2738</v>
      </c>
      <c r="H15" s="451"/>
      <c r="I15" s="451"/>
      <c r="J15" s="451"/>
      <c r="K15" s="451"/>
      <c r="L15" s="451"/>
      <c r="M15" s="451"/>
    </row>
    <row r="16" spans="2:13" ht="20.100000000000001" customHeight="1">
      <c r="B16" s="523" t="s">
        <v>87</v>
      </c>
      <c r="C16" s="436">
        <v>17597</v>
      </c>
      <c r="D16" s="344">
        <v>15289</v>
      </c>
      <c r="E16" s="344">
        <v>14446</v>
      </c>
      <c r="F16" s="344">
        <v>14631</v>
      </c>
      <c r="G16" s="344">
        <v>17347</v>
      </c>
      <c r="H16" s="451"/>
      <c r="I16" s="451"/>
      <c r="J16" s="451"/>
      <c r="K16" s="451"/>
      <c r="L16" s="451"/>
      <c r="M16" s="451"/>
    </row>
    <row r="17" spans="2:13" ht="20.100000000000001" customHeight="1">
      <c r="B17" s="45" t="s">
        <v>202</v>
      </c>
      <c r="C17" s="343">
        <v>109397</v>
      </c>
      <c r="D17" s="349">
        <v>111971</v>
      </c>
      <c r="E17" s="349">
        <v>109518</v>
      </c>
      <c r="F17" s="349">
        <v>106876</v>
      </c>
      <c r="G17" s="349">
        <v>104480</v>
      </c>
      <c r="H17" s="451"/>
      <c r="I17" s="451"/>
      <c r="J17" s="451"/>
      <c r="K17" s="451"/>
      <c r="L17" s="451"/>
      <c r="M17" s="451"/>
    </row>
    <row r="18" spans="2:13" ht="15" customHeight="1"/>
    <row r="19" spans="2:13" ht="14.1" customHeight="1">
      <c r="B19" s="1161" t="s">
        <v>341</v>
      </c>
      <c r="C19" s="1161"/>
      <c r="D19" s="1161"/>
      <c r="E19" s="1161"/>
      <c r="F19" s="1161"/>
      <c r="G19" s="1161"/>
      <c r="H19" s="1161"/>
      <c r="I19" s="1161"/>
      <c r="J19" s="1161"/>
      <c r="K19" s="1161"/>
      <c r="L19" s="1161"/>
      <c r="M19" s="1161"/>
    </row>
    <row r="20" spans="2:13" ht="14.1" customHeight="1">
      <c r="E20" s="451"/>
      <c r="F20" s="451"/>
      <c r="G20" s="451"/>
      <c r="H20" s="451"/>
      <c r="I20" s="451"/>
      <c r="J20" s="451"/>
      <c r="K20" s="451"/>
      <c r="L20" s="451"/>
      <c r="M20" s="451"/>
    </row>
  </sheetData>
  <mergeCells count="3">
    <mergeCell ref="B2:M2"/>
    <mergeCell ref="B19:M19"/>
    <mergeCell ref="D4:L4"/>
  </mergeCells>
  <pageMargins left="0.74803149606299213" right="0.74803149606299213" top="0.98425196850393704" bottom="0.98425196850393704" header="0.51181102362204722" footer="0.51181102362204722"/>
  <pageSetup paperSize="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8">
    <tabColor rgb="FF0076BD"/>
    <pageSetUpPr fitToPage="1"/>
  </sheetPr>
  <dimension ref="B2:I14"/>
  <sheetViews>
    <sheetView showGridLines="0" view="pageBreakPreview" zoomScaleNormal="115" zoomScaleSheetLayoutView="100" zoomScalePageLayoutView="115" workbookViewId="0">
      <selection activeCell="H17" sqref="H17"/>
    </sheetView>
  </sheetViews>
  <sheetFormatPr defaultColWidth="11" defaultRowHeight="20.100000000000001" customHeight="1"/>
  <cols>
    <col min="1" max="1" width="5.5" style="451" customWidth="1"/>
    <col min="2" max="2" width="26.125" style="451" customWidth="1"/>
    <col min="3" max="4" width="10.875" style="451" customWidth="1"/>
    <col min="5" max="12" width="11" style="451"/>
    <col min="13" max="13" width="10.375" style="451" customWidth="1"/>
    <col min="14" max="14" width="0" style="451" hidden="1" customWidth="1"/>
    <col min="15" max="16384" width="11" style="451"/>
  </cols>
  <sheetData>
    <row r="2" spans="2:9" ht="20.100000000000001" customHeight="1">
      <c r="B2" s="1156" t="s">
        <v>88</v>
      </c>
      <c r="C2" s="1156"/>
      <c r="D2" s="1156"/>
      <c r="E2" s="1156"/>
      <c r="F2" s="1156"/>
      <c r="G2" s="1156"/>
    </row>
    <row r="3" spans="2:9" ht="20.100000000000001" customHeight="1">
      <c r="B3" s="449"/>
      <c r="C3" s="449"/>
      <c r="D3" s="449"/>
    </row>
    <row r="4" spans="2:9" ht="20.100000000000001" customHeight="1">
      <c r="B4" s="21" t="s">
        <v>45</v>
      </c>
      <c r="C4" s="340">
        <v>2017</v>
      </c>
      <c r="D4" s="340">
        <v>2016</v>
      </c>
      <c r="E4" s="340">
        <v>2015</v>
      </c>
      <c r="F4" s="340">
        <v>2014</v>
      </c>
      <c r="G4" s="346">
        <v>2013</v>
      </c>
    </row>
    <row r="5" spans="2:9" ht="20.100000000000001" customHeight="1">
      <c r="B5" s="22" t="s">
        <v>13</v>
      </c>
      <c r="C5" s="345"/>
      <c r="D5" s="345"/>
      <c r="E5" s="345"/>
      <c r="F5" s="345"/>
      <c r="G5" s="345"/>
    </row>
    <row r="6" spans="2:9" ht="20.100000000000001" customHeight="1">
      <c r="B6" s="363" t="s">
        <v>318</v>
      </c>
      <c r="C6" s="186">
        <v>127434</v>
      </c>
      <c r="D6" s="122">
        <v>132309</v>
      </c>
      <c r="E6" s="122">
        <v>130145</v>
      </c>
      <c r="F6" s="122">
        <v>126904</v>
      </c>
      <c r="G6" s="122">
        <v>125218</v>
      </c>
      <c r="I6" s="303"/>
    </row>
    <row r="7" spans="2:9" ht="20.100000000000001" customHeight="1">
      <c r="B7" s="363" t="s">
        <v>317</v>
      </c>
      <c r="C7" s="186">
        <v>5417</v>
      </c>
      <c r="D7" s="122">
        <v>4935</v>
      </c>
      <c r="E7" s="122">
        <v>3619</v>
      </c>
      <c r="F7" s="122"/>
      <c r="G7" s="122"/>
      <c r="I7" s="303"/>
    </row>
    <row r="8" spans="2:9" ht="20.100000000000001" customHeight="1">
      <c r="B8" s="363" t="s">
        <v>146</v>
      </c>
      <c r="C8" s="186">
        <v>15506</v>
      </c>
      <c r="D8" s="122">
        <v>13165</v>
      </c>
      <c r="E8" s="122">
        <v>13032</v>
      </c>
      <c r="F8" s="122">
        <v>13987</v>
      </c>
      <c r="G8" s="122">
        <v>17376</v>
      </c>
    </row>
    <row r="9" spans="2:9" ht="20.100000000000001" customHeight="1">
      <c r="B9" s="363" t="s">
        <v>147</v>
      </c>
      <c r="C9" s="186">
        <v>7751</v>
      </c>
      <c r="D9" s="122">
        <v>6723</v>
      </c>
      <c r="E9" s="122">
        <v>6426</v>
      </c>
      <c r="F9" s="122">
        <v>9129</v>
      </c>
      <c r="G9" s="122">
        <v>9468</v>
      </c>
    </row>
    <row r="10" spans="2:9" ht="20.100000000000001" customHeight="1">
      <c r="B10" s="365" t="s">
        <v>35</v>
      </c>
      <c r="C10" s="188">
        <v>896</v>
      </c>
      <c r="D10" s="123">
        <v>421</v>
      </c>
      <c r="E10" s="123">
        <v>-193</v>
      </c>
      <c r="F10" s="123">
        <v>482</v>
      </c>
      <c r="G10" s="123">
        <v>1140</v>
      </c>
    </row>
    <row r="11" spans="2:9" ht="20.100000000000001" customHeight="1">
      <c r="B11" s="20" t="s">
        <v>36</v>
      </c>
      <c r="C11" s="347">
        <v>157004</v>
      </c>
      <c r="D11" s="347">
        <v>157553</v>
      </c>
      <c r="E11" s="347">
        <v>153029</v>
      </c>
      <c r="F11" s="347">
        <v>150502</v>
      </c>
      <c r="G11" s="347">
        <v>153202</v>
      </c>
    </row>
    <row r="12" spans="2:9" ht="20.100000000000001" customHeight="1">
      <c r="B12" s="81"/>
      <c r="C12" s="81"/>
      <c r="D12" s="81"/>
      <c r="G12" s="80"/>
    </row>
    <row r="13" spans="2:9" ht="14.1" customHeight="1">
      <c r="B13" s="1173" t="s">
        <v>247</v>
      </c>
      <c r="C13" s="1173"/>
      <c r="D13" s="1173"/>
      <c r="E13" s="1173"/>
      <c r="F13" s="1173"/>
      <c r="G13" s="1173"/>
    </row>
    <row r="14" spans="2:9" ht="14.1" customHeight="1"/>
  </sheetData>
  <mergeCells count="2">
    <mergeCell ref="B2:G2"/>
    <mergeCell ref="B13:G13"/>
  </mergeCells>
  <pageMargins left="0.75000000000000011" right="0.75000000000000011" top="1" bottom="1" header="0.5" footer="0.5"/>
  <pageSetup paperSize="9" scale="91"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9">
    <tabColor rgb="FF0076BD"/>
    <pageSetUpPr fitToPage="1"/>
  </sheetPr>
  <dimension ref="B2:X46"/>
  <sheetViews>
    <sheetView showGridLines="0" view="pageBreakPreview" zoomScaleSheetLayoutView="100" workbookViewId="0">
      <selection activeCell="H17" sqref="H17"/>
    </sheetView>
  </sheetViews>
  <sheetFormatPr defaultColWidth="11" defaultRowHeight="20.100000000000001" customHeight="1"/>
  <cols>
    <col min="1" max="1" width="5.5" style="451" customWidth="1"/>
    <col min="2" max="2" width="26.125" style="451" customWidth="1"/>
    <col min="3" max="6" width="10.5" style="451" customWidth="1"/>
    <col min="7" max="7" width="10.5" style="52" customWidth="1"/>
    <col min="8" max="25" width="10.5" style="451" customWidth="1"/>
    <col min="26" max="16384" width="11" style="451"/>
  </cols>
  <sheetData>
    <row r="2" spans="2:24" ht="20.100000000000001" customHeight="1">
      <c r="B2" s="1174" t="str">
        <f>UPPER("Non-current debt analysis")</f>
        <v>NON-CURRENT DEBT ANALYSIS</v>
      </c>
      <c r="C2" s="1174"/>
      <c r="D2" s="1174"/>
      <c r="E2" s="1174"/>
      <c r="F2" s="1174"/>
      <c r="G2" s="1174"/>
      <c r="H2" s="243"/>
      <c r="I2" s="243"/>
      <c r="J2" s="243"/>
      <c r="K2" s="243"/>
      <c r="L2" s="243"/>
      <c r="M2" s="243"/>
      <c r="N2" s="243"/>
      <c r="O2" s="243"/>
      <c r="P2" s="243"/>
      <c r="Q2" s="243"/>
      <c r="R2" s="243"/>
      <c r="S2" s="243"/>
      <c r="T2" s="243"/>
      <c r="U2" s="243"/>
      <c r="V2" s="243"/>
      <c r="W2" s="243"/>
      <c r="X2" s="243"/>
    </row>
    <row r="3" spans="2:24" ht="20.100000000000001" customHeight="1">
      <c r="H3" s="452"/>
      <c r="I3" s="452"/>
      <c r="J3" s="452"/>
      <c r="K3" s="452"/>
      <c r="L3" s="452"/>
      <c r="M3" s="452"/>
      <c r="N3" s="452"/>
      <c r="O3" s="452"/>
      <c r="P3" s="452"/>
      <c r="Q3" s="452"/>
      <c r="R3" s="452"/>
      <c r="S3" s="452"/>
      <c r="T3" s="452"/>
    </row>
    <row r="4" spans="2:24" ht="20.100000000000001" customHeight="1">
      <c r="B4" s="21" t="s">
        <v>45</v>
      </c>
      <c r="C4" s="21"/>
      <c r="D4" s="21"/>
      <c r="E4" s="1159"/>
      <c r="F4" s="1159"/>
      <c r="G4" s="1159"/>
      <c r="H4" s="1159"/>
      <c r="I4" s="1159"/>
      <c r="J4" s="1159"/>
      <c r="K4" s="1159"/>
      <c r="L4" s="1159"/>
      <c r="M4" s="1159"/>
      <c r="N4" s="1159"/>
      <c r="O4" s="1159"/>
      <c r="P4" s="1159"/>
      <c r="Q4" s="1159"/>
      <c r="R4" s="1159"/>
      <c r="S4" s="1159"/>
      <c r="T4" s="1159"/>
      <c r="U4" s="1159"/>
      <c r="V4" s="1159"/>
      <c r="W4" s="1159"/>
      <c r="X4" s="1159"/>
    </row>
    <row r="5" spans="2:24" ht="20.100000000000001" customHeight="1">
      <c r="B5" s="22" t="s">
        <v>176</v>
      </c>
      <c r="C5" s="368">
        <v>2017</v>
      </c>
      <c r="D5" s="428" t="s">
        <v>89</v>
      </c>
      <c r="E5" s="368">
        <v>2016</v>
      </c>
      <c r="F5" s="428" t="s">
        <v>89</v>
      </c>
      <c r="G5" s="368">
        <v>2015</v>
      </c>
      <c r="H5" s="428" t="s">
        <v>89</v>
      </c>
      <c r="I5" s="368">
        <v>2014</v>
      </c>
      <c r="J5" s="413" t="s">
        <v>89</v>
      </c>
      <c r="K5" s="362">
        <v>2013</v>
      </c>
      <c r="L5" s="413" t="s">
        <v>89</v>
      </c>
      <c r="M5" s="531"/>
    </row>
    <row r="6" spans="2:24" ht="20.100000000000001" customHeight="1">
      <c r="B6" s="15" t="s">
        <v>226</v>
      </c>
      <c r="C6" s="198"/>
      <c r="D6" s="169"/>
      <c r="E6" s="254"/>
      <c r="F6" s="255"/>
      <c r="G6" s="254"/>
      <c r="H6" s="255"/>
      <c r="I6" s="322"/>
      <c r="J6" s="322"/>
      <c r="K6" s="360"/>
      <c r="L6" s="46"/>
      <c r="M6" s="531"/>
    </row>
    <row r="7" spans="2:24" ht="20.100000000000001" customHeight="1">
      <c r="B7" s="47">
        <v>2011</v>
      </c>
      <c r="C7" s="376"/>
      <c r="D7" s="170"/>
      <c r="E7" s="352" t="s">
        <v>14</v>
      </c>
      <c r="F7" s="125" t="s">
        <v>14</v>
      </c>
      <c r="G7" s="352" t="s">
        <v>14</v>
      </c>
      <c r="H7" s="125" t="s">
        <v>14</v>
      </c>
      <c r="I7" s="351" t="s">
        <v>14</v>
      </c>
      <c r="J7" s="144" t="s">
        <v>14</v>
      </c>
      <c r="K7" s="358" t="s">
        <v>14</v>
      </c>
      <c r="L7" s="48" t="s">
        <v>14</v>
      </c>
      <c r="M7" s="531"/>
    </row>
    <row r="8" spans="2:24" ht="20.100000000000001" customHeight="1">
      <c r="B8" s="47">
        <v>2012</v>
      </c>
      <c r="C8" s="376"/>
      <c r="D8" s="170"/>
      <c r="E8" s="352" t="s">
        <v>14</v>
      </c>
      <c r="F8" s="125" t="s">
        <v>14</v>
      </c>
      <c r="G8" s="352" t="s">
        <v>14</v>
      </c>
      <c r="H8" s="125" t="s">
        <v>14</v>
      </c>
      <c r="I8" s="351" t="s">
        <v>14</v>
      </c>
      <c r="J8" s="144" t="s">
        <v>14</v>
      </c>
      <c r="K8" s="358" t="s">
        <v>14</v>
      </c>
      <c r="L8" s="48" t="s">
        <v>14</v>
      </c>
      <c r="M8" s="531"/>
    </row>
    <row r="9" spans="2:24" ht="20.100000000000001" customHeight="1">
      <c r="B9" s="47">
        <v>2013</v>
      </c>
      <c r="C9" s="376"/>
      <c r="D9" s="170"/>
      <c r="E9" s="352" t="s">
        <v>14</v>
      </c>
      <c r="F9" s="125" t="s">
        <v>14</v>
      </c>
      <c r="G9" s="352" t="s">
        <v>14</v>
      </c>
      <c r="H9" s="125" t="s">
        <v>14</v>
      </c>
      <c r="I9" s="351" t="s">
        <v>14</v>
      </c>
      <c r="J9" s="144" t="s">
        <v>14</v>
      </c>
      <c r="K9" s="358" t="s">
        <v>14</v>
      </c>
      <c r="L9" s="48" t="s">
        <v>14</v>
      </c>
      <c r="M9" s="531"/>
    </row>
    <row r="10" spans="2:24" ht="20.100000000000001" customHeight="1">
      <c r="B10" s="47">
        <v>2014</v>
      </c>
      <c r="C10" s="376"/>
      <c r="D10" s="170"/>
      <c r="E10" s="352" t="s">
        <v>14</v>
      </c>
      <c r="F10" s="125" t="s">
        <v>14</v>
      </c>
      <c r="G10" s="352" t="s">
        <v>14</v>
      </c>
      <c r="H10" s="125" t="s">
        <v>14</v>
      </c>
      <c r="I10" s="351" t="s">
        <v>14</v>
      </c>
      <c r="J10" s="144" t="s">
        <v>14</v>
      </c>
      <c r="K10" s="358" t="s">
        <v>14</v>
      </c>
      <c r="L10" s="49" t="s">
        <v>14</v>
      </c>
      <c r="M10" s="531"/>
    </row>
    <row r="11" spans="2:24" ht="20.100000000000001" customHeight="1">
      <c r="B11" s="47">
        <v>2015</v>
      </c>
      <c r="C11" s="376"/>
      <c r="D11" s="170"/>
      <c r="E11" s="352" t="s">
        <v>14</v>
      </c>
      <c r="F11" s="125" t="s">
        <v>14</v>
      </c>
      <c r="G11" s="352" t="s">
        <v>14</v>
      </c>
      <c r="H11" s="125" t="s">
        <v>14</v>
      </c>
      <c r="I11" s="351" t="s">
        <v>14</v>
      </c>
      <c r="J11" s="374" t="s">
        <v>14</v>
      </c>
      <c r="K11" s="358">
        <v>4647</v>
      </c>
      <c r="L11" s="49">
        <v>0.14000000000000001</v>
      </c>
      <c r="M11" s="531"/>
    </row>
    <row r="12" spans="2:24" ht="20.100000000000001" customHeight="1">
      <c r="B12" s="47">
        <v>2016</v>
      </c>
      <c r="C12" s="376"/>
      <c r="D12" s="171"/>
      <c r="E12" s="352" t="s">
        <v>14</v>
      </c>
      <c r="F12" s="256" t="s">
        <v>14</v>
      </c>
      <c r="G12" s="352" t="s">
        <v>14</v>
      </c>
      <c r="H12" s="256" t="s">
        <v>14</v>
      </c>
      <c r="I12" s="351">
        <v>4793</v>
      </c>
      <c r="J12" s="374">
        <v>0.11</v>
      </c>
      <c r="K12" s="358">
        <v>4528</v>
      </c>
      <c r="L12" s="49">
        <v>0.14000000000000001</v>
      </c>
      <c r="M12" s="531"/>
    </row>
    <row r="13" spans="2:24" ht="20.100000000000001" customHeight="1">
      <c r="B13" s="47">
        <v>2017</v>
      </c>
      <c r="C13" s="376"/>
      <c r="D13" s="171"/>
      <c r="E13" s="352" t="s">
        <v>14</v>
      </c>
      <c r="F13" s="256" t="s">
        <v>14</v>
      </c>
      <c r="G13" s="352">
        <v>4602</v>
      </c>
      <c r="H13" s="256">
        <v>0.11</v>
      </c>
      <c r="I13" s="351">
        <v>4547</v>
      </c>
      <c r="J13" s="374">
        <v>0.1</v>
      </c>
      <c r="K13" s="358">
        <v>4159</v>
      </c>
      <c r="L13" s="49">
        <v>0.12</v>
      </c>
      <c r="M13" s="531"/>
    </row>
    <row r="14" spans="2:24" ht="20.100000000000001" customHeight="1">
      <c r="B14" s="47">
        <v>2018</v>
      </c>
      <c r="C14" s="376"/>
      <c r="D14" s="171"/>
      <c r="E14" s="352">
        <v>4320</v>
      </c>
      <c r="F14" s="256">
        <v>0.1</v>
      </c>
      <c r="G14" s="352">
        <v>4420</v>
      </c>
      <c r="H14" s="256">
        <v>0.1</v>
      </c>
      <c r="I14" s="351">
        <v>4451</v>
      </c>
      <c r="J14" s="167">
        <v>0.1</v>
      </c>
      <c r="K14" s="310">
        <v>4361</v>
      </c>
      <c r="L14" s="143">
        <v>0.13</v>
      </c>
      <c r="M14" s="531"/>
    </row>
    <row r="15" spans="2:24" ht="20.100000000000001" customHeight="1">
      <c r="B15" s="47">
        <v>2019</v>
      </c>
      <c r="C15" s="376">
        <v>5930</v>
      </c>
      <c r="D15" s="171">
        <v>0.14583999409753817</v>
      </c>
      <c r="E15" s="352">
        <v>5702</v>
      </c>
      <c r="F15" s="256">
        <v>0.14000000000000001</v>
      </c>
      <c r="G15" s="352">
        <v>5542</v>
      </c>
      <c r="H15" s="256">
        <v>0.13</v>
      </c>
      <c r="I15" s="351">
        <v>4765</v>
      </c>
      <c r="J15" s="167">
        <v>0.11</v>
      </c>
      <c r="K15" s="358" t="s">
        <v>351</v>
      </c>
      <c r="L15" s="143">
        <v>0.47</v>
      </c>
      <c r="M15" s="531"/>
    </row>
    <row r="16" spans="2:24" ht="20.100000000000001" customHeight="1">
      <c r="B16" s="47">
        <v>2020</v>
      </c>
      <c r="C16" s="376">
        <v>5117</v>
      </c>
      <c r="D16" s="171">
        <v>0.12584540468753844</v>
      </c>
      <c r="E16" s="352">
        <v>4952</v>
      </c>
      <c r="F16" s="256">
        <v>0.12</v>
      </c>
      <c r="G16" s="352">
        <v>4965</v>
      </c>
      <c r="H16" s="256">
        <v>0.11</v>
      </c>
      <c r="I16" s="351" t="s">
        <v>350</v>
      </c>
      <c r="J16" s="167">
        <v>0.57999999999999996</v>
      </c>
      <c r="K16" s="358" t="s">
        <v>14</v>
      </c>
      <c r="L16" s="143" t="s">
        <v>14</v>
      </c>
      <c r="M16" s="531"/>
    </row>
    <row r="17" spans="2:24" ht="20.100000000000001" customHeight="1">
      <c r="B17" s="47">
        <v>2021</v>
      </c>
      <c r="C17" s="376">
        <v>3795</v>
      </c>
      <c r="D17" s="171">
        <v>9.3332677504242401E-2</v>
      </c>
      <c r="E17" s="352">
        <v>3578</v>
      </c>
      <c r="F17" s="256">
        <v>0.08</v>
      </c>
      <c r="G17" s="352" t="s">
        <v>349</v>
      </c>
      <c r="H17" s="256">
        <v>0.55000000000000004</v>
      </c>
      <c r="I17" s="351" t="s">
        <v>14</v>
      </c>
      <c r="J17" s="167" t="s">
        <v>14</v>
      </c>
      <c r="K17" s="358" t="s">
        <v>14</v>
      </c>
      <c r="L17" s="143" t="s">
        <v>14</v>
      </c>
      <c r="M17" s="531"/>
    </row>
    <row r="18" spans="2:24" ht="20.100000000000001" customHeight="1">
      <c r="B18" s="50">
        <v>2022</v>
      </c>
      <c r="C18" s="376">
        <v>4959</v>
      </c>
      <c r="D18" s="171">
        <v>0.12195961732372544</v>
      </c>
      <c r="E18" s="249" t="s">
        <v>348</v>
      </c>
      <c r="F18" s="257">
        <v>0.56000000000000005</v>
      </c>
      <c r="G18" s="257" t="s">
        <v>14</v>
      </c>
      <c r="H18" s="257" t="s">
        <v>14</v>
      </c>
      <c r="I18" s="257" t="s">
        <v>14</v>
      </c>
      <c r="J18" s="257" t="s">
        <v>14</v>
      </c>
      <c r="K18" s="257" t="s">
        <v>14</v>
      </c>
      <c r="L18" s="257" t="s">
        <v>14</v>
      </c>
      <c r="M18" s="531"/>
    </row>
    <row r="19" spans="2:24" ht="20.100000000000001" customHeight="1">
      <c r="B19" s="50" t="s">
        <v>347</v>
      </c>
      <c r="C19" s="377">
        <v>20860</v>
      </c>
      <c r="D19" s="172">
        <v>0.51302230638695556</v>
      </c>
      <c r="E19" s="249"/>
      <c r="F19" s="257"/>
      <c r="G19" s="532"/>
      <c r="H19" s="257"/>
      <c r="I19" s="532"/>
      <c r="J19" s="532"/>
      <c r="K19" s="532"/>
      <c r="L19" s="257"/>
      <c r="M19" s="531"/>
    </row>
    <row r="20" spans="2:24" ht="20.100000000000001" customHeight="1">
      <c r="B20" s="20" t="s">
        <v>36</v>
      </c>
      <c r="C20" s="347">
        <v>40661</v>
      </c>
      <c r="D20" s="350">
        <v>1</v>
      </c>
      <c r="E20" s="347">
        <v>42159</v>
      </c>
      <c r="F20" s="350">
        <v>1</v>
      </c>
      <c r="G20" s="347">
        <v>43245</v>
      </c>
      <c r="H20" s="350">
        <v>1</v>
      </c>
      <c r="I20" s="347">
        <v>44162</v>
      </c>
      <c r="J20" s="149">
        <v>1</v>
      </c>
      <c r="K20" s="347">
        <v>33156</v>
      </c>
      <c r="L20" s="350">
        <v>1</v>
      </c>
      <c r="M20" s="531"/>
    </row>
    <row r="21" spans="2:24" ht="20.100000000000001" customHeight="1">
      <c r="H21" s="453"/>
      <c r="I21" s="453"/>
      <c r="J21" s="453"/>
      <c r="K21" s="453"/>
      <c r="L21" s="453"/>
      <c r="M21" s="453"/>
      <c r="N21" s="453"/>
      <c r="O21" s="453"/>
      <c r="P21" s="453"/>
      <c r="Q21" s="453"/>
      <c r="R21" s="453"/>
      <c r="S21" s="453"/>
      <c r="T21" s="52"/>
    </row>
    <row r="22" spans="2:24" ht="20.100000000000001" customHeight="1">
      <c r="B22" s="346"/>
      <c r="C22" s="346"/>
      <c r="D22" s="346"/>
      <c r="E22" s="1159"/>
      <c r="F22" s="1159"/>
      <c r="G22" s="1159"/>
      <c r="H22" s="1159"/>
      <c r="I22" s="1159"/>
      <c r="J22" s="1159"/>
      <c r="K22" s="1159"/>
      <c r="L22" s="1159"/>
      <c r="M22" s="1159"/>
      <c r="N22" s="1159"/>
      <c r="O22" s="1159"/>
      <c r="P22" s="1159"/>
      <c r="Q22" s="1159"/>
      <c r="R22" s="1159"/>
      <c r="S22" s="1159"/>
      <c r="T22" s="1159"/>
      <c r="U22" s="1159"/>
      <c r="V22" s="1159"/>
      <c r="W22" s="1159"/>
      <c r="X22" s="1159"/>
    </row>
    <row r="23" spans="2:24" ht="20.100000000000001" customHeight="1">
      <c r="B23" s="22" t="s">
        <v>177</v>
      </c>
      <c r="C23" s="368">
        <v>2017</v>
      </c>
      <c r="D23" s="413" t="s">
        <v>89</v>
      </c>
      <c r="E23" s="368">
        <v>2016</v>
      </c>
      <c r="F23" s="413" t="s">
        <v>89</v>
      </c>
      <c r="G23" s="368">
        <v>2015</v>
      </c>
      <c r="H23" s="413" t="s">
        <v>89</v>
      </c>
      <c r="I23" s="368">
        <v>2014</v>
      </c>
      <c r="J23" s="413" t="s">
        <v>89</v>
      </c>
      <c r="K23" s="362">
        <v>2013</v>
      </c>
      <c r="L23" s="413" t="s">
        <v>89</v>
      </c>
    </row>
    <row r="24" spans="2:24" ht="20.100000000000001" customHeight="1">
      <c r="B24" s="15" t="s">
        <v>188</v>
      </c>
      <c r="C24" s="198"/>
      <c r="D24" s="173"/>
      <c r="E24" s="254"/>
      <c r="F24" s="258"/>
      <c r="G24" s="254"/>
      <c r="H24" s="258"/>
      <c r="I24" s="322"/>
      <c r="J24" s="322"/>
      <c r="K24" s="360"/>
      <c r="L24" s="46"/>
    </row>
    <row r="25" spans="2:24" ht="20.100000000000001" customHeight="1">
      <c r="B25" s="363" t="s">
        <v>227</v>
      </c>
      <c r="C25" s="376">
        <v>38703</v>
      </c>
      <c r="D25" s="171">
        <v>0.95184574899781116</v>
      </c>
      <c r="E25" s="352">
        <v>39963</v>
      </c>
      <c r="F25" s="256">
        <v>0.95</v>
      </c>
      <c r="G25" s="352">
        <v>40337</v>
      </c>
      <c r="H25" s="256">
        <v>0.93</v>
      </c>
      <c r="I25" s="144">
        <v>41369</v>
      </c>
      <c r="J25" s="374">
        <v>0.94</v>
      </c>
      <c r="K25" s="145">
        <v>27908</v>
      </c>
      <c r="L25" s="49">
        <v>0.84</v>
      </c>
    </row>
    <row r="26" spans="2:24" ht="20.100000000000001" customHeight="1">
      <c r="B26" s="363" t="s">
        <v>90</v>
      </c>
      <c r="C26" s="376">
        <v>724</v>
      </c>
      <c r="D26" s="171">
        <v>1.7805759818991171E-2</v>
      </c>
      <c r="E26" s="352">
        <v>977</v>
      </c>
      <c r="F26" s="256">
        <v>0.02</v>
      </c>
      <c r="G26" s="352">
        <v>1681</v>
      </c>
      <c r="H26" s="256">
        <v>0.04</v>
      </c>
      <c r="I26" s="144">
        <v>2428</v>
      </c>
      <c r="J26" s="374">
        <v>0.05</v>
      </c>
      <c r="K26" s="145">
        <v>4885</v>
      </c>
      <c r="L26" s="49">
        <v>0.15</v>
      </c>
    </row>
    <row r="27" spans="2:24" ht="20.100000000000001" customHeight="1">
      <c r="B27" s="363" t="s">
        <v>203</v>
      </c>
      <c r="C27" s="376">
        <v>975</v>
      </c>
      <c r="D27" s="171">
        <v>2.3978751137453579E-2</v>
      </c>
      <c r="E27" s="352">
        <v>928</v>
      </c>
      <c r="F27" s="256">
        <v>0.02</v>
      </c>
      <c r="G27" s="352">
        <v>907</v>
      </c>
      <c r="H27" s="256">
        <v>0.02</v>
      </c>
      <c r="I27" s="144" t="s">
        <v>14</v>
      </c>
      <c r="J27" s="374" t="s">
        <v>14</v>
      </c>
      <c r="K27" s="145" t="s">
        <v>14</v>
      </c>
      <c r="L27" s="49" t="s">
        <v>14</v>
      </c>
    </row>
    <row r="28" spans="2:24" ht="20.100000000000001" customHeight="1">
      <c r="B28" s="365" t="s">
        <v>91</v>
      </c>
      <c r="C28" s="377">
        <v>259</v>
      </c>
      <c r="D28" s="172">
        <v>6.3697400457440791E-3</v>
      </c>
      <c r="E28" s="249">
        <v>291</v>
      </c>
      <c r="F28" s="257">
        <v>0.01</v>
      </c>
      <c r="G28" s="249">
        <v>320</v>
      </c>
      <c r="H28" s="257">
        <v>0.01</v>
      </c>
      <c r="I28" s="146">
        <v>365</v>
      </c>
      <c r="J28" s="168">
        <v>0.01</v>
      </c>
      <c r="K28" s="147">
        <v>363</v>
      </c>
      <c r="L28" s="51">
        <v>0.01</v>
      </c>
    </row>
    <row r="29" spans="2:24" ht="20.100000000000001" customHeight="1">
      <c r="B29" s="20" t="s">
        <v>36</v>
      </c>
      <c r="C29" s="347">
        <v>40661</v>
      </c>
      <c r="D29" s="350">
        <v>1</v>
      </c>
      <c r="E29" s="347">
        <v>42159</v>
      </c>
      <c r="F29" s="350">
        <v>1</v>
      </c>
      <c r="G29" s="347">
        <v>43245</v>
      </c>
      <c r="H29" s="350">
        <v>1</v>
      </c>
      <c r="I29" s="148">
        <v>44162</v>
      </c>
      <c r="J29" s="149">
        <v>1</v>
      </c>
      <c r="K29" s="148">
        <v>33156</v>
      </c>
      <c r="L29" s="350">
        <v>1</v>
      </c>
    </row>
    <row r="30" spans="2:24" ht="20.100000000000001" customHeight="1">
      <c r="H30" s="453"/>
      <c r="I30" s="453"/>
      <c r="J30" s="453"/>
      <c r="K30" s="453"/>
      <c r="L30" s="53"/>
      <c r="M30" s="453"/>
      <c r="N30" s="453"/>
      <c r="O30" s="54"/>
      <c r="P30" s="453"/>
      <c r="Q30" s="453"/>
      <c r="R30" s="453"/>
      <c r="S30" s="453"/>
      <c r="T30" s="52"/>
    </row>
    <row r="31" spans="2:24" ht="20.100000000000001" customHeight="1">
      <c r="B31" s="346"/>
      <c r="C31" s="346"/>
      <c r="D31" s="346"/>
      <c r="E31" s="1159"/>
      <c r="F31" s="1159"/>
      <c r="G31" s="1159"/>
      <c r="H31" s="1159"/>
      <c r="I31" s="1159"/>
      <c r="J31" s="1159"/>
      <c r="K31" s="1159"/>
      <c r="L31" s="1159"/>
      <c r="M31" s="1159"/>
      <c r="N31" s="1159"/>
      <c r="O31" s="1159"/>
      <c r="P31" s="1159"/>
      <c r="Q31" s="1159"/>
      <c r="R31" s="1159"/>
      <c r="S31" s="1159"/>
      <c r="T31" s="1159"/>
      <c r="U31" s="1159"/>
      <c r="V31" s="1159"/>
      <c r="W31" s="1159"/>
      <c r="X31" s="1159"/>
    </row>
    <row r="32" spans="2:24" ht="20.100000000000001" customHeight="1">
      <c r="B32" s="22" t="s">
        <v>177</v>
      </c>
      <c r="C32" s="368">
        <v>2017</v>
      </c>
      <c r="D32" s="413" t="s">
        <v>89</v>
      </c>
      <c r="E32" s="368">
        <v>2016</v>
      </c>
      <c r="F32" s="413" t="s">
        <v>89</v>
      </c>
      <c r="G32" s="368">
        <v>2015</v>
      </c>
      <c r="H32" s="413" t="s">
        <v>89</v>
      </c>
      <c r="I32" s="368">
        <v>2014</v>
      </c>
      <c r="J32" s="413" t="s">
        <v>89</v>
      </c>
      <c r="K32" s="362">
        <v>2013</v>
      </c>
      <c r="L32" s="413" t="s">
        <v>89</v>
      </c>
    </row>
    <row r="33" spans="2:24" ht="20.100000000000001" customHeight="1">
      <c r="B33" s="15" t="s">
        <v>189</v>
      </c>
      <c r="C33" s="198"/>
      <c r="D33" s="173"/>
      <c r="E33" s="254"/>
      <c r="F33" s="258"/>
      <c r="G33" s="254"/>
      <c r="H33" s="258"/>
      <c r="I33" s="322"/>
      <c r="J33" s="322"/>
      <c r="K33" s="360"/>
      <c r="L33" s="46"/>
    </row>
    <row r="34" spans="2:24" ht="20.100000000000001" customHeight="1">
      <c r="B34" s="363" t="s">
        <v>228</v>
      </c>
      <c r="C34" s="376">
        <v>18332</v>
      </c>
      <c r="D34" s="171">
        <v>0.45084970856594769</v>
      </c>
      <c r="E34" s="352">
        <v>11703</v>
      </c>
      <c r="F34" s="256">
        <v>0.28000000000000003</v>
      </c>
      <c r="G34" s="352">
        <v>7666</v>
      </c>
      <c r="H34" s="256">
        <v>0.18</v>
      </c>
      <c r="I34" s="351">
        <v>6944</v>
      </c>
      <c r="J34" s="374">
        <v>0.16</v>
      </c>
      <c r="K34" s="358">
        <v>6771</v>
      </c>
      <c r="L34" s="49">
        <v>0.2</v>
      </c>
    </row>
    <row r="35" spans="2:24" ht="20.100000000000001" customHeight="1">
      <c r="B35" s="365" t="s">
        <v>92</v>
      </c>
      <c r="C35" s="377">
        <v>22329</v>
      </c>
      <c r="D35" s="172">
        <v>0.54915029143405225</v>
      </c>
      <c r="E35" s="249">
        <v>30456</v>
      </c>
      <c r="F35" s="257">
        <v>0.72</v>
      </c>
      <c r="G35" s="249">
        <v>35579</v>
      </c>
      <c r="H35" s="257">
        <v>0.82</v>
      </c>
      <c r="I35" s="126">
        <v>37218</v>
      </c>
      <c r="J35" s="168">
        <v>0.84</v>
      </c>
      <c r="K35" s="359">
        <v>26385</v>
      </c>
      <c r="L35" s="51">
        <v>0.8</v>
      </c>
    </row>
    <row r="36" spans="2:24" ht="20.100000000000001" customHeight="1">
      <c r="B36" s="20" t="s">
        <v>36</v>
      </c>
      <c r="C36" s="347">
        <v>40661</v>
      </c>
      <c r="D36" s="350">
        <v>1</v>
      </c>
      <c r="E36" s="347">
        <v>42159</v>
      </c>
      <c r="F36" s="350">
        <v>1</v>
      </c>
      <c r="G36" s="347">
        <v>43245</v>
      </c>
      <c r="H36" s="350">
        <v>1</v>
      </c>
      <c r="I36" s="347">
        <v>44162</v>
      </c>
      <c r="J36" s="149">
        <v>1</v>
      </c>
      <c r="K36" s="347">
        <v>33156</v>
      </c>
      <c r="L36" s="350">
        <v>1</v>
      </c>
    </row>
    <row r="37" spans="2:24" ht="20.100000000000001" customHeight="1">
      <c r="O37" s="55"/>
    </row>
    <row r="38" spans="2:24" ht="20.100000000000001" customHeight="1">
      <c r="B38" s="1161" t="s">
        <v>182</v>
      </c>
      <c r="C38" s="1161"/>
      <c r="D38" s="1161"/>
      <c r="E38" s="1161"/>
      <c r="F38" s="1161"/>
      <c r="G38" s="1161"/>
      <c r="H38" s="1161"/>
      <c r="I38" s="1161"/>
      <c r="J38" s="1161"/>
      <c r="K38" s="1161"/>
      <c r="L38" s="1161"/>
      <c r="M38" s="1161"/>
      <c r="N38" s="1161"/>
      <c r="O38" s="1161"/>
      <c r="P38" s="1161"/>
      <c r="Q38" s="1161"/>
      <c r="R38" s="1161"/>
      <c r="S38" s="1161"/>
      <c r="T38" s="1161"/>
      <c r="U38" s="1161"/>
      <c r="V38" s="1161"/>
      <c r="W38" s="1161"/>
      <c r="X38" s="1161"/>
    </row>
    <row r="39" spans="2:24" ht="20.100000000000001" customHeight="1">
      <c r="B39" s="1161" t="s">
        <v>346</v>
      </c>
      <c r="C39" s="1161"/>
      <c r="D39" s="1161"/>
      <c r="E39" s="1161"/>
      <c r="F39" s="1161"/>
      <c r="G39" s="1161"/>
      <c r="H39" s="1161"/>
      <c r="I39" s="1161"/>
      <c r="J39" s="1161"/>
      <c r="K39" s="1161"/>
      <c r="L39" s="1161"/>
      <c r="M39" s="1161"/>
      <c r="N39" s="1161"/>
      <c r="O39" s="1161"/>
      <c r="P39" s="1161"/>
      <c r="Q39" s="1161"/>
      <c r="R39" s="1161"/>
      <c r="S39" s="1161"/>
      <c r="T39" s="1161"/>
      <c r="U39" s="1161"/>
      <c r="V39" s="1161"/>
      <c r="W39" s="1161"/>
      <c r="X39" s="1161"/>
    </row>
    <row r="40" spans="2:24" ht="20.100000000000001" customHeight="1">
      <c r="B40" s="1161" t="s">
        <v>345</v>
      </c>
      <c r="C40" s="1161"/>
      <c r="D40" s="1161"/>
      <c r="E40" s="1161"/>
      <c r="F40" s="1161"/>
      <c r="G40" s="1161"/>
      <c r="H40" s="1161"/>
      <c r="I40" s="1161"/>
      <c r="J40" s="1161"/>
      <c r="K40" s="1161"/>
      <c r="L40" s="1161"/>
      <c r="M40" s="1161"/>
      <c r="N40" s="1161"/>
      <c r="O40" s="1161"/>
      <c r="P40" s="1161"/>
      <c r="Q40" s="1161"/>
      <c r="R40" s="1161"/>
      <c r="S40" s="1161"/>
      <c r="T40" s="1161"/>
      <c r="U40" s="1161"/>
      <c r="V40" s="1161"/>
      <c r="W40" s="1161"/>
      <c r="X40" s="1161"/>
    </row>
    <row r="41" spans="2:24" ht="20.100000000000001" customHeight="1">
      <c r="B41" s="1161" t="s">
        <v>344</v>
      </c>
      <c r="C41" s="1161"/>
      <c r="D41" s="1161"/>
      <c r="E41" s="1161"/>
      <c r="F41" s="1161"/>
      <c r="G41" s="1161"/>
      <c r="H41" s="1161"/>
      <c r="I41" s="1161"/>
      <c r="J41" s="1161"/>
      <c r="K41" s="1161"/>
      <c r="L41" s="1161"/>
      <c r="M41" s="1161"/>
      <c r="N41" s="1161"/>
      <c r="O41" s="1161"/>
      <c r="P41" s="1161"/>
      <c r="Q41" s="1161"/>
      <c r="R41" s="1161"/>
      <c r="S41" s="1161"/>
      <c r="T41" s="1161"/>
      <c r="U41" s="1161"/>
      <c r="V41" s="1161"/>
      <c r="W41" s="1161"/>
      <c r="X41" s="1161"/>
    </row>
    <row r="42" spans="2:24" ht="14.1" customHeight="1">
      <c r="B42" s="1161" t="s">
        <v>343</v>
      </c>
      <c r="C42" s="1161"/>
      <c r="D42" s="1161"/>
      <c r="E42" s="1161"/>
      <c r="F42" s="1161"/>
      <c r="G42" s="1161"/>
      <c r="H42" s="1161"/>
      <c r="I42" s="1161"/>
      <c r="J42" s="1161"/>
      <c r="K42" s="1161"/>
      <c r="L42" s="1161"/>
      <c r="M42" s="1161"/>
      <c r="N42" s="1161"/>
      <c r="O42" s="1161"/>
      <c r="P42" s="1161"/>
      <c r="Q42" s="1161"/>
      <c r="R42" s="1161"/>
      <c r="S42" s="1161"/>
      <c r="T42" s="1161"/>
      <c r="U42" s="1161"/>
      <c r="V42" s="1161"/>
      <c r="W42" s="1161"/>
      <c r="X42" s="1161"/>
    </row>
    <row r="43" spans="2:24" ht="14.1" customHeight="1"/>
    <row r="44" spans="2:24" ht="14.1" customHeight="1"/>
    <row r="45" spans="2:24" ht="14.1" customHeight="1"/>
    <row r="46" spans="2:24" ht="14.1" customHeight="1"/>
  </sheetData>
  <mergeCells count="12">
    <mergeCell ref="B38:X38"/>
    <mergeCell ref="E31:V31"/>
    <mergeCell ref="B42:X42"/>
    <mergeCell ref="B41:X41"/>
    <mergeCell ref="B2:G2"/>
    <mergeCell ref="B40:X40"/>
    <mergeCell ref="W4:X4"/>
    <mergeCell ref="W22:X22"/>
    <mergeCell ref="E4:V4"/>
    <mergeCell ref="E22:V22"/>
    <mergeCell ref="B39:X39"/>
    <mergeCell ref="W31:X31"/>
  </mergeCells>
  <pageMargins left="0.74803149606299213" right="0.74803149606299213" top="0.98425196850393704" bottom="0.98425196850393704" header="0.51181102362204722" footer="0.51181102362204722"/>
  <pageSetup paperSize="9" scale="5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2">
    <tabColor rgb="FF0076BD"/>
  </sheetPr>
  <dimension ref="B2:K8"/>
  <sheetViews>
    <sheetView showGridLines="0" workbookViewId="0">
      <selection activeCell="B8" sqref="B8:H8"/>
    </sheetView>
  </sheetViews>
  <sheetFormatPr defaultColWidth="11" defaultRowHeight="15.75"/>
  <cols>
    <col min="1" max="8" width="11" style="451"/>
    <col min="9" max="9" width="22.375" style="451" customWidth="1"/>
    <col min="10" max="262" width="11" style="451"/>
    <col min="263" max="263" width="22.375" style="451" customWidth="1"/>
    <col min="264" max="518" width="11" style="451"/>
    <col min="519" max="519" width="22.375" style="451" customWidth="1"/>
    <col min="520" max="774" width="11" style="451"/>
    <col min="775" max="775" width="22.375" style="451" customWidth="1"/>
    <col min="776" max="1030" width="11" style="451"/>
    <col min="1031" max="1031" width="22.375" style="451" customWidth="1"/>
    <col min="1032" max="1286" width="11" style="451"/>
    <col min="1287" max="1287" width="22.375" style="451" customWidth="1"/>
    <col min="1288" max="1542" width="11" style="451"/>
    <col min="1543" max="1543" width="22.375" style="451" customWidth="1"/>
    <col min="1544" max="1798" width="11" style="451"/>
    <col min="1799" max="1799" width="22.375" style="451" customWidth="1"/>
    <col min="1800" max="2054" width="11" style="451"/>
    <col min="2055" max="2055" width="22.375" style="451" customWidth="1"/>
    <col min="2056" max="2310" width="11" style="451"/>
    <col min="2311" max="2311" width="22.375" style="451" customWidth="1"/>
    <col min="2312" max="2566" width="11" style="451"/>
    <col min="2567" max="2567" width="22.375" style="451" customWidth="1"/>
    <col min="2568" max="2822" width="11" style="451"/>
    <col min="2823" max="2823" width="22.375" style="451" customWidth="1"/>
    <col min="2824" max="3078" width="11" style="451"/>
    <col min="3079" max="3079" width="22.375" style="451" customWidth="1"/>
    <col min="3080" max="3334" width="11" style="451"/>
    <col min="3335" max="3335" width="22.375" style="451" customWidth="1"/>
    <col min="3336" max="3590" width="11" style="451"/>
    <col min="3591" max="3591" width="22.375" style="451" customWidth="1"/>
    <col min="3592" max="3846" width="11" style="451"/>
    <col min="3847" max="3847" width="22.375" style="451" customWidth="1"/>
    <col min="3848" max="4102" width="11" style="451"/>
    <col min="4103" max="4103" width="22.375" style="451" customWidth="1"/>
    <col min="4104" max="4358" width="11" style="451"/>
    <col min="4359" max="4359" width="22.375" style="451" customWidth="1"/>
    <col min="4360" max="4614" width="11" style="451"/>
    <col min="4615" max="4615" width="22.375" style="451" customWidth="1"/>
    <col min="4616" max="4870" width="11" style="451"/>
    <col min="4871" max="4871" width="22.375" style="451" customWidth="1"/>
    <col min="4872" max="5126" width="11" style="451"/>
    <col min="5127" max="5127" width="22.375" style="451" customWidth="1"/>
    <col min="5128" max="5382" width="11" style="451"/>
    <col min="5383" max="5383" width="22.375" style="451" customWidth="1"/>
    <col min="5384" max="5638" width="11" style="451"/>
    <col min="5639" max="5639" width="22.375" style="451" customWidth="1"/>
    <col min="5640" max="5894" width="11" style="451"/>
    <col min="5895" max="5895" width="22.375" style="451" customWidth="1"/>
    <col min="5896" max="6150" width="11" style="451"/>
    <col min="6151" max="6151" width="22.375" style="451" customWidth="1"/>
    <col min="6152" max="6406" width="11" style="451"/>
    <col min="6407" max="6407" width="22.375" style="451" customWidth="1"/>
    <col min="6408" max="6662" width="11" style="451"/>
    <col min="6663" max="6663" width="22.375" style="451" customWidth="1"/>
    <col min="6664" max="6918" width="11" style="451"/>
    <col min="6919" max="6919" width="22.375" style="451" customWidth="1"/>
    <col min="6920" max="7174" width="11" style="451"/>
    <col min="7175" max="7175" width="22.375" style="451" customWidth="1"/>
    <col min="7176" max="7430" width="11" style="451"/>
    <col min="7431" max="7431" width="22.375" style="451" customWidth="1"/>
    <col min="7432" max="7686" width="11" style="451"/>
    <col min="7687" max="7687" width="22.375" style="451" customWidth="1"/>
    <col min="7688" max="7942" width="11" style="451"/>
    <col min="7943" max="7943" width="22.375" style="451" customWidth="1"/>
    <col min="7944" max="8198" width="11" style="451"/>
    <col min="8199" max="8199" width="22.375" style="451" customWidth="1"/>
    <col min="8200" max="8454" width="11" style="451"/>
    <col min="8455" max="8455" width="22.375" style="451" customWidth="1"/>
    <col min="8456" max="8710" width="11" style="451"/>
    <col min="8711" max="8711" width="22.375" style="451" customWidth="1"/>
    <col min="8712" max="8966" width="11" style="451"/>
    <col min="8967" max="8967" width="22.375" style="451" customWidth="1"/>
    <col min="8968" max="9222" width="11" style="451"/>
    <col min="9223" max="9223" width="22.375" style="451" customWidth="1"/>
    <col min="9224" max="9478" width="11" style="451"/>
    <col min="9479" max="9479" width="22.375" style="451" customWidth="1"/>
    <col min="9480" max="9734" width="11" style="451"/>
    <col min="9735" max="9735" width="22.375" style="451" customWidth="1"/>
    <col min="9736" max="9990" width="11" style="451"/>
    <col min="9991" max="9991" width="22.375" style="451" customWidth="1"/>
    <col min="9992" max="10246" width="11" style="451"/>
    <col min="10247" max="10247" width="22.375" style="451" customWidth="1"/>
    <col min="10248" max="10502" width="11" style="451"/>
    <col min="10503" max="10503" width="22.375" style="451" customWidth="1"/>
    <col min="10504" max="10758" width="11" style="451"/>
    <col min="10759" max="10759" width="22.375" style="451" customWidth="1"/>
    <col min="10760" max="11014" width="11" style="451"/>
    <col min="11015" max="11015" width="22.375" style="451" customWidth="1"/>
    <col min="11016" max="11270" width="11" style="451"/>
    <col min="11271" max="11271" width="22.375" style="451" customWidth="1"/>
    <col min="11272" max="11526" width="11" style="451"/>
    <col min="11527" max="11527" width="22.375" style="451" customWidth="1"/>
    <col min="11528" max="11782" width="11" style="451"/>
    <col min="11783" max="11783" width="22.375" style="451" customWidth="1"/>
    <col min="11784" max="12038" width="11" style="451"/>
    <col min="12039" max="12039" width="22.375" style="451" customWidth="1"/>
    <col min="12040" max="12294" width="11" style="451"/>
    <col min="12295" max="12295" width="22.375" style="451" customWidth="1"/>
    <col min="12296" max="12550" width="11" style="451"/>
    <col min="12551" max="12551" width="22.375" style="451" customWidth="1"/>
    <col min="12552" max="12806" width="11" style="451"/>
    <col min="12807" max="12807" width="22.375" style="451" customWidth="1"/>
    <col min="12808" max="13062" width="11" style="451"/>
    <col min="13063" max="13063" width="22.375" style="451" customWidth="1"/>
    <col min="13064" max="13318" width="11" style="451"/>
    <col min="13319" max="13319" width="22.375" style="451" customWidth="1"/>
    <col min="13320" max="13574" width="11" style="451"/>
    <col min="13575" max="13575" width="22.375" style="451" customWidth="1"/>
    <col min="13576" max="13830" width="11" style="451"/>
    <col min="13831" max="13831" width="22.375" style="451" customWidth="1"/>
    <col min="13832" max="14086" width="11" style="451"/>
    <col min="14087" max="14087" width="22.375" style="451" customWidth="1"/>
    <col min="14088" max="14342" width="11" style="451"/>
    <col min="14343" max="14343" width="22.375" style="451" customWidth="1"/>
    <col min="14344" max="14598" width="11" style="451"/>
    <col min="14599" max="14599" width="22.375" style="451" customWidth="1"/>
    <col min="14600" max="14854" width="11" style="451"/>
    <col min="14855" max="14855" width="22.375" style="451" customWidth="1"/>
    <col min="14856" max="15110" width="11" style="451"/>
    <col min="15111" max="15111" width="22.375" style="451" customWidth="1"/>
    <col min="15112" max="15366" width="11" style="451"/>
    <col min="15367" max="15367" width="22.375" style="451" customWidth="1"/>
    <col min="15368" max="15622" width="11" style="451"/>
    <col min="15623" max="15623" width="22.375" style="451" customWidth="1"/>
    <col min="15624" max="15878" width="11" style="451"/>
    <col min="15879" max="15879" width="22.375" style="451" customWidth="1"/>
    <col min="15880" max="16134" width="11" style="451"/>
    <col min="16135" max="16135" width="22.375" style="451" customWidth="1"/>
    <col min="16136" max="16384" width="11" style="451"/>
  </cols>
  <sheetData>
    <row r="2" spans="2:11">
      <c r="B2" s="1156" t="s">
        <v>301</v>
      </c>
      <c r="C2" s="1156"/>
      <c r="D2" s="1156"/>
      <c r="E2" s="1156"/>
      <c r="F2" s="1156"/>
      <c r="G2" s="1156"/>
      <c r="H2" s="1156"/>
      <c r="I2" s="1156"/>
      <c r="J2" s="1156"/>
      <c r="K2" s="1156"/>
    </row>
    <row r="3" spans="2:11" ht="21.95" customHeight="1">
      <c r="B3" s="449"/>
    </row>
    <row r="4" spans="2:11" ht="9" customHeight="1">
      <c r="B4" s="1157" t="s">
        <v>1083</v>
      </c>
      <c r="C4" s="1157"/>
      <c r="D4" s="1157"/>
      <c r="E4" s="1157"/>
      <c r="F4" s="1157"/>
      <c r="G4" s="1157"/>
      <c r="H4" s="1157"/>
      <c r="I4" s="1157"/>
    </row>
    <row r="5" spans="2:11">
      <c r="B5" s="1157"/>
      <c r="C5" s="1157"/>
      <c r="D5" s="1157"/>
      <c r="E5" s="1157"/>
      <c r="F5" s="1157"/>
      <c r="G5" s="1157"/>
      <c r="H5" s="1157"/>
      <c r="I5" s="1157"/>
    </row>
    <row r="6" spans="2:11" ht="102.75" customHeight="1">
      <c r="B6" s="1157"/>
      <c r="C6" s="1157"/>
      <c r="D6" s="1157"/>
      <c r="E6" s="1157"/>
      <c r="F6" s="1157"/>
      <c r="G6" s="1157"/>
      <c r="H6" s="1157"/>
      <c r="I6" s="1157"/>
    </row>
    <row r="7" spans="2:11" s="435" customFormat="1"/>
    <row r="8" spans="2:11" ht="57" customHeight="1">
      <c r="B8" s="1158"/>
      <c r="C8" s="1158"/>
      <c r="D8" s="1158"/>
      <c r="E8" s="1158"/>
      <c r="F8" s="1158"/>
      <c r="G8" s="1158"/>
      <c r="H8" s="1158"/>
    </row>
  </sheetData>
  <mergeCells count="3">
    <mergeCell ref="B2:K2"/>
    <mergeCell ref="B4:I6"/>
    <mergeCell ref="B8:H8"/>
  </mergeCells>
  <pageMargins left="0.7" right="0.7" top="0.75" bottom="0.75" header="0.3" footer="0.3"/>
  <pageSetup paperSize="9" scale="75" orientation="landscape" r:id="rId1"/>
  <colBreaks count="1" manualBreakCount="1">
    <brk id="9"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20">
    <tabColor rgb="FF0076BD"/>
    <pageSetUpPr fitToPage="1"/>
  </sheetPr>
  <dimension ref="B2:I121"/>
  <sheetViews>
    <sheetView showGridLines="0" view="pageBreakPreview" zoomScaleNormal="70" zoomScaleSheetLayoutView="100" zoomScalePageLayoutView="70" workbookViewId="0">
      <pane xSplit="2" ySplit="5" topLeftCell="C6" activePane="bottomRight" state="frozenSplit"/>
      <selection activeCell="H17" sqref="H17"/>
      <selection pane="topRight" activeCell="H17" sqref="H17"/>
      <selection pane="bottomLeft" activeCell="H17" sqref="H17"/>
      <selection pane="bottomRight" activeCell="H17" sqref="H17"/>
    </sheetView>
  </sheetViews>
  <sheetFormatPr defaultColWidth="11" defaultRowHeight="20.100000000000001" customHeight="1"/>
  <cols>
    <col min="1" max="1" width="5.5" style="451" customWidth="1"/>
    <col min="2" max="2" width="59" style="451" customWidth="1"/>
    <col min="3" max="3" width="13.625" style="451" bestFit="1" customWidth="1"/>
    <col min="4" max="4" width="11.125" style="451" customWidth="1"/>
    <col min="5" max="5" width="15.125" style="451" customWidth="1"/>
    <col min="6" max="6" width="11.125" style="451" customWidth="1"/>
    <col min="7" max="7" width="13" style="451" bestFit="1" customWidth="1"/>
    <col min="8" max="8" width="11.125" style="451" customWidth="1"/>
    <col min="9" max="9" width="12.5" style="451" customWidth="1"/>
    <col min="10" max="13" width="11" style="451"/>
    <col min="14" max="14" width="10.375" style="451" customWidth="1"/>
    <col min="15" max="15" width="0" style="451" hidden="1" customWidth="1"/>
    <col min="16" max="16384" width="11" style="451"/>
  </cols>
  <sheetData>
    <row r="2" spans="2:9" ht="20.100000000000001" customHeight="1">
      <c r="B2" s="1156" t="str">
        <f>UPPER("Consolidated statement of changes in shareholders' equity - Group share")</f>
        <v>CONSOLIDATED STATEMENT OF CHANGES IN SHAREHOLDERS' EQUITY - GROUP SHARE</v>
      </c>
      <c r="C2" s="1156"/>
      <c r="D2" s="1156"/>
      <c r="E2" s="1156"/>
      <c r="F2" s="1156"/>
      <c r="G2" s="1156"/>
      <c r="H2" s="1156"/>
      <c r="I2" s="1156"/>
    </row>
    <row r="4" spans="2:9" ht="20.100000000000001" customHeight="1">
      <c r="B4" s="3" t="s">
        <v>13</v>
      </c>
      <c r="C4" s="1175" t="s">
        <v>93</v>
      </c>
      <c r="D4" s="1175"/>
      <c r="E4" s="1176" t="s">
        <v>94</v>
      </c>
      <c r="F4" s="1176" t="s">
        <v>95</v>
      </c>
      <c r="G4" s="1175" t="s">
        <v>67</v>
      </c>
      <c r="H4" s="1175"/>
      <c r="I4" s="1176" t="s">
        <v>96</v>
      </c>
    </row>
    <row r="5" spans="2:9" ht="20.100000000000001" customHeight="1">
      <c r="B5" s="427"/>
      <c r="C5" s="427" t="s">
        <v>97</v>
      </c>
      <c r="D5" s="427" t="s">
        <v>98</v>
      </c>
      <c r="E5" s="1177"/>
      <c r="F5" s="1177"/>
      <c r="G5" s="427" t="s">
        <v>97</v>
      </c>
      <c r="H5" s="427" t="s">
        <v>98</v>
      </c>
      <c r="I5" s="1177"/>
    </row>
    <row r="6" spans="2:9" ht="20.100000000000001" customHeight="1">
      <c r="B6" s="533" t="s">
        <v>352</v>
      </c>
      <c r="C6" s="103">
        <v>2365933146</v>
      </c>
      <c r="D6" s="102">
        <v>7454</v>
      </c>
      <c r="E6" s="102">
        <v>92485</v>
      </c>
      <c r="F6" s="102">
        <v>-1696</v>
      </c>
      <c r="G6" s="102">
        <v>-108391639</v>
      </c>
      <c r="H6" s="102">
        <v>-4274</v>
      </c>
      <c r="I6" s="102">
        <v>93969</v>
      </c>
    </row>
    <row r="7" spans="2:9" ht="20.100000000000001" customHeight="1">
      <c r="B7" s="363" t="s">
        <v>99</v>
      </c>
      <c r="C7" s="24" t="s">
        <v>14</v>
      </c>
      <c r="D7" s="25" t="s">
        <v>14</v>
      </c>
      <c r="E7" s="25">
        <v>-7116</v>
      </c>
      <c r="F7" s="366" t="s">
        <v>14</v>
      </c>
      <c r="G7" s="366" t="s">
        <v>14</v>
      </c>
      <c r="H7" s="366" t="s">
        <v>14</v>
      </c>
      <c r="I7" s="342">
        <v>-7116</v>
      </c>
    </row>
    <row r="8" spans="2:9" ht="20.100000000000001" customHeight="1">
      <c r="B8" s="363" t="s">
        <v>145</v>
      </c>
      <c r="C8" s="24" t="s">
        <v>14</v>
      </c>
      <c r="D8" s="25" t="s">
        <v>14</v>
      </c>
      <c r="E8" s="25">
        <v>11228</v>
      </c>
      <c r="F8" s="366" t="s">
        <v>14</v>
      </c>
      <c r="G8" s="366" t="s">
        <v>14</v>
      </c>
      <c r="H8" s="366" t="s">
        <v>14</v>
      </c>
      <c r="I8" s="342">
        <v>11228</v>
      </c>
    </row>
    <row r="9" spans="2:9" ht="20.100000000000001" customHeight="1">
      <c r="B9" s="363" t="s">
        <v>105</v>
      </c>
      <c r="C9" s="24" t="s">
        <v>14</v>
      </c>
      <c r="D9" s="25" t="s">
        <v>14</v>
      </c>
      <c r="E9" s="25">
        <v>473</v>
      </c>
      <c r="F9" s="366">
        <v>492</v>
      </c>
      <c r="G9" s="366" t="s">
        <v>14</v>
      </c>
      <c r="H9" s="366" t="s">
        <v>14</v>
      </c>
      <c r="I9" s="342">
        <v>965</v>
      </c>
    </row>
    <row r="10" spans="2:9" ht="20.100000000000001" customHeight="1">
      <c r="B10" s="363" t="s">
        <v>100</v>
      </c>
      <c r="C10" s="24">
        <v>11745014</v>
      </c>
      <c r="D10" s="25">
        <v>39</v>
      </c>
      <c r="E10" s="25">
        <v>446</v>
      </c>
      <c r="F10" s="366" t="s">
        <v>14</v>
      </c>
      <c r="G10" s="366" t="s">
        <v>14</v>
      </c>
      <c r="H10" s="366" t="s">
        <v>14</v>
      </c>
      <c r="I10" s="342">
        <v>485</v>
      </c>
    </row>
    <row r="11" spans="2:9" ht="20.100000000000001" customHeight="1">
      <c r="B11" s="363" t="s">
        <v>101</v>
      </c>
      <c r="C11" s="24" t="s">
        <v>14</v>
      </c>
      <c r="D11" s="25" t="s">
        <v>14</v>
      </c>
      <c r="E11" s="25" t="s">
        <v>14</v>
      </c>
      <c r="F11" s="366" t="s">
        <v>14</v>
      </c>
      <c r="G11" s="366">
        <v>-4414200</v>
      </c>
      <c r="H11" s="366">
        <v>-238</v>
      </c>
      <c r="I11" s="342">
        <v>-238</v>
      </c>
    </row>
    <row r="12" spans="2:9" ht="20.100000000000001" customHeight="1">
      <c r="B12" s="363" t="s">
        <v>173</v>
      </c>
      <c r="C12" s="24" t="s">
        <v>14</v>
      </c>
      <c r="D12" s="25" t="s">
        <v>14</v>
      </c>
      <c r="E12" s="25">
        <v>-209</v>
      </c>
      <c r="F12" s="366" t="s">
        <v>14</v>
      </c>
      <c r="G12" s="366">
        <v>3591391</v>
      </c>
      <c r="H12" s="366">
        <v>209</v>
      </c>
      <c r="I12" s="342" t="s">
        <v>14</v>
      </c>
    </row>
    <row r="13" spans="2:9" ht="20.100000000000001" customHeight="1">
      <c r="B13" s="363" t="s">
        <v>106</v>
      </c>
      <c r="C13" s="24" t="s">
        <v>14</v>
      </c>
      <c r="D13" s="25" t="s">
        <v>14</v>
      </c>
      <c r="E13" s="25">
        <v>189</v>
      </c>
      <c r="F13" s="366" t="s">
        <v>14</v>
      </c>
      <c r="G13" s="366" t="s">
        <v>14</v>
      </c>
      <c r="H13" s="366" t="s">
        <v>14</v>
      </c>
      <c r="I13" s="342">
        <v>189</v>
      </c>
    </row>
    <row r="14" spans="2:9" ht="20.100000000000001" customHeight="1">
      <c r="B14" s="363" t="s">
        <v>102</v>
      </c>
      <c r="C14" s="24" t="s">
        <v>14</v>
      </c>
      <c r="D14" s="25" t="s">
        <v>14</v>
      </c>
      <c r="E14" s="25" t="s">
        <v>14</v>
      </c>
      <c r="F14" s="366" t="s">
        <v>14</v>
      </c>
      <c r="G14" s="366" t="s">
        <v>14</v>
      </c>
      <c r="H14" s="366" t="s">
        <v>14</v>
      </c>
      <c r="I14" s="342" t="s">
        <v>14</v>
      </c>
    </row>
    <row r="15" spans="2:9" ht="20.100000000000001" customHeight="1">
      <c r="B15" s="363" t="s">
        <v>103</v>
      </c>
      <c r="C15" s="24" t="s">
        <v>14</v>
      </c>
      <c r="D15" s="25" t="s">
        <v>14</v>
      </c>
      <c r="E15" s="25" t="s">
        <v>14</v>
      </c>
      <c r="F15" s="366" t="s">
        <v>14</v>
      </c>
      <c r="G15" s="366" t="s">
        <v>14</v>
      </c>
      <c r="H15" s="366" t="s">
        <v>14</v>
      </c>
      <c r="I15" s="342" t="s">
        <v>14</v>
      </c>
    </row>
    <row r="16" spans="2:9" ht="20.100000000000001" customHeight="1">
      <c r="B16" s="363" t="s">
        <v>104</v>
      </c>
      <c r="C16" s="24" t="s">
        <v>14</v>
      </c>
      <c r="D16" s="25" t="s">
        <v>14</v>
      </c>
      <c r="E16" s="25">
        <v>749</v>
      </c>
      <c r="F16" s="366">
        <v>1</v>
      </c>
      <c r="G16" s="366" t="s">
        <v>14</v>
      </c>
      <c r="H16" s="366" t="s">
        <v>14</v>
      </c>
      <c r="I16" s="342">
        <v>750</v>
      </c>
    </row>
    <row r="17" spans="2:9" ht="20.100000000000001" customHeight="1">
      <c r="B17" s="365" t="s">
        <v>107</v>
      </c>
      <c r="C17" s="27" t="s">
        <v>14</v>
      </c>
      <c r="D17" s="28" t="s">
        <v>14</v>
      </c>
      <c r="E17" s="28">
        <v>9</v>
      </c>
      <c r="F17" s="367" t="s">
        <v>14</v>
      </c>
      <c r="G17" s="367" t="s">
        <v>14</v>
      </c>
      <c r="H17" s="367" t="s">
        <v>14</v>
      </c>
      <c r="I17" s="37">
        <v>9</v>
      </c>
    </row>
    <row r="18" spans="2:9" ht="20.100000000000001" customHeight="1">
      <c r="B18" s="433" t="s">
        <v>166</v>
      </c>
      <c r="C18" s="103">
        <v>2377678160</v>
      </c>
      <c r="D18" s="102">
        <v>7493</v>
      </c>
      <c r="E18" s="102">
        <v>98254</v>
      </c>
      <c r="F18" s="102">
        <v>-1203</v>
      </c>
      <c r="G18" s="102">
        <v>-109214448</v>
      </c>
      <c r="H18" s="102">
        <v>-4303</v>
      </c>
      <c r="I18" s="102">
        <v>100241</v>
      </c>
    </row>
    <row r="19" spans="2:9" ht="20.100000000000001" customHeight="1">
      <c r="B19" s="363" t="s">
        <v>99</v>
      </c>
      <c r="C19" s="24" t="s">
        <v>14</v>
      </c>
      <c r="D19" s="25" t="s">
        <v>14</v>
      </c>
      <c r="E19" s="25">
        <v>-7378</v>
      </c>
      <c r="F19" s="366" t="s">
        <v>14</v>
      </c>
      <c r="G19" s="366" t="s">
        <v>14</v>
      </c>
      <c r="H19" s="366" t="s">
        <v>14</v>
      </c>
      <c r="I19" s="342">
        <v>-7378</v>
      </c>
    </row>
    <row r="20" spans="2:9" ht="20.100000000000001" customHeight="1">
      <c r="B20" s="363" t="s">
        <v>163</v>
      </c>
      <c r="C20" s="24" t="s">
        <v>14</v>
      </c>
      <c r="D20" s="25" t="s">
        <v>14</v>
      </c>
      <c r="E20" s="25">
        <v>4244</v>
      </c>
      <c r="F20" s="366" t="s">
        <v>14</v>
      </c>
      <c r="G20" s="366" t="s">
        <v>14</v>
      </c>
      <c r="H20" s="366" t="s">
        <v>14</v>
      </c>
      <c r="I20" s="342">
        <v>4244</v>
      </c>
    </row>
    <row r="21" spans="2:9" ht="20.100000000000001" customHeight="1">
      <c r="B21" s="363" t="s">
        <v>105</v>
      </c>
      <c r="C21" s="24" t="s">
        <v>14</v>
      </c>
      <c r="D21" s="25" t="s">
        <v>14</v>
      </c>
      <c r="E21" s="25">
        <v>-907</v>
      </c>
      <c r="F21" s="366">
        <v>-6275</v>
      </c>
      <c r="G21" s="366" t="s">
        <v>14</v>
      </c>
      <c r="H21" s="366" t="s">
        <v>14</v>
      </c>
      <c r="I21" s="342">
        <v>-7182</v>
      </c>
    </row>
    <row r="22" spans="2:9" ht="20.100000000000001" customHeight="1">
      <c r="B22" s="363" t="s">
        <v>100</v>
      </c>
      <c r="C22" s="24">
        <v>7589365</v>
      </c>
      <c r="D22" s="25">
        <v>25</v>
      </c>
      <c r="E22" s="25">
        <v>395</v>
      </c>
      <c r="F22" s="366" t="s">
        <v>14</v>
      </c>
      <c r="G22" s="366" t="s">
        <v>14</v>
      </c>
      <c r="H22" s="366" t="s">
        <v>14</v>
      </c>
      <c r="I22" s="342">
        <v>420</v>
      </c>
    </row>
    <row r="23" spans="2:9" ht="20.100000000000001" customHeight="1">
      <c r="B23" s="363" t="s">
        <v>101</v>
      </c>
      <c r="C23" s="24" t="s">
        <v>14</v>
      </c>
      <c r="D23" s="25" t="s">
        <v>14</v>
      </c>
      <c r="E23" s="25" t="s">
        <v>14</v>
      </c>
      <c r="F23" s="366" t="s">
        <v>14</v>
      </c>
      <c r="G23" s="366">
        <v>-4386300</v>
      </c>
      <c r="H23" s="366">
        <v>-283</v>
      </c>
      <c r="I23" s="342">
        <v>-283</v>
      </c>
    </row>
    <row r="24" spans="2:9" ht="20.100000000000001" customHeight="1">
      <c r="B24" s="363" t="s">
        <v>173</v>
      </c>
      <c r="C24" s="24" t="s">
        <v>14</v>
      </c>
      <c r="D24" s="25" t="s">
        <v>14</v>
      </c>
      <c r="E24" s="25">
        <v>-232</v>
      </c>
      <c r="F24" s="366" t="s">
        <v>14</v>
      </c>
      <c r="G24" s="366">
        <v>4239335</v>
      </c>
      <c r="H24" s="366">
        <v>232</v>
      </c>
      <c r="I24" s="342" t="s">
        <v>14</v>
      </c>
    </row>
    <row r="25" spans="2:9" ht="20.100000000000001" customHeight="1">
      <c r="B25" s="363" t="s">
        <v>106</v>
      </c>
      <c r="C25" s="24" t="s">
        <v>14</v>
      </c>
      <c r="D25" s="25" t="s">
        <v>14</v>
      </c>
      <c r="E25" s="25">
        <v>114</v>
      </c>
      <c r="F25" s="366" t="s">
        <v>14</v>
      </c>
      <c r="G25" s="366" t="s">
        <v>14</v>
      </c>
      <c r="H25" s="366" t="s">
        <v>14</v>
      </c>
      <c r="I25" s="342">
        <v>114</v>
      </c>
    </row>
    <row r="26" spans="2:9" ht="20.100000000000001" customHeight="1">
      <c r="B26" s="363" t="s">
        <v>102</v>
      </c>
      <c r="C26" s="24" t="s">
        <v>14</v>
      </c>
      <c r="D26" s="25" t="s">
        <v>14</v>
      </c>
      <c r="E26" s="25" t="s">
        <v>14</v>
      </c>
      <c r="F26" s="366" t="s">
        <v>14</v>
      </c>
      <c r="G26" s="366" t="s">
        <v>14</v>
      </c>
      <c r="H26" s="366" t="s">
        <v>14</v>
      </c>
      <c r="I26" s="342" t="s">
        <v>14</v>
      </c>
    </row>
    <row r="27" spans="2:9" ht="20.100000000000001" customHeight="1">
      <c r="B27" s="363" t="s">
        <v>103</v>
      </c>
      <c r="C27" s="24" t="s">
        <v>14</v>
      </c>
      <c r="D27" s="25" t="s">
        <v>14</v>
      </c>
      <c r="E27" s="25" t="s">
        <v>14</v>
      </c>
      <c r="F27" s="366" t="s">
        <v>14</v>
      </c>
      <c r="G27" s="366" t="s">
        <v>14</v>
      </c>
      <c r="H27" s="366" t="s">
        <v>14</v>
      </c>
      <c r="I27" s="342" t="s">
        <v>14</v>
      </c>
    </row>
    <row r="28" spans="2:9" ht="20.100000000000001" customHeight="1">
      <c r="B28" s="363" t="s">
        <v>104</v>
      </c>
      <c r="C28" s="24" t="s">
        <v>14</v>
      </c>
      <c r="D28" s="25" t="s">
        <v>14</v>
      </c>
      <c r="E28" s="25">
        <v>148</v>
      </c>
      <c r="F28" s="366">
        <v>-2</v>
      </c>
      <c r="G28" s="366" t="s">
        <v>14</v>
      </c>
      <c r="H28" s="366" t="s">
        <v>14</v>
      </c>
      <c r="I28" s="342">
        <v>146</v>
      </c>
    </row>
    <row r="29" spans="2:9" ht="20.100000000000001" customHeight="1">
      <c r="B29" s="365" t="s">
        <v>107</v>
      </c>
      <c r="C29" s="27" t="s">
        <v>14</v>
      </c>
      <c r="D29" s="28" t="s">
        <v>14</v>
      </c>
      <c r="E29" s="28">
        <v>8</v>
      </c>
      <c r="F29" s="367" t="s">
        <v>14</v>
      </c>
      <c r="G29" s="367" t="s">
        <v>14</v>
      </c>
      <c r="H29" s="367" t="s">
        <v>14</v>
      </c>
      <c r="I29" s="37">
        <v>8</v>
      </c>
    </row>
    <row r="30" spans="2:9" ht="20.100000000000001" customHeight="1">
      <c r="B30" s="433" t="s">
        <v>167</v>
      </c>
      <c r="C30" s="103">
        <v>2385267525</v>
      </c>
      <c r="D30" s="102">
        <v>7518</v>
      </c>
      <c r="E30" s="102">
        <v>94646</v>
      </c>
      <c r="F30" s="102">
        <v>-7480</v>
      </c>
      <c r="G30" s="102">
        <v>-109361413</v>
      </c>
      <c r="H30" s="102">
        <v>-4354</v>
      </c>
      <c r="I30" s="102">
        <v>90330</v>
      </c>
    </row>
    <row r="31" spans="2:9" ht="20.100000000000001" customHeight="1">
      <c r="B31" s="363" t="s">
        <v>99</v>
      </c>
      <c r="C31" s="24" t="s">
        <v>14</v>
      </c>
      <c r="D31" s="25" t="s">
        <v>14</v>
      </c>
      <c r="E31" s="25">
        <v>-6303</v>
      </c>
      <c r="F31" s="366" t="s">
        <v>14</v>
      </c>
      <c r="G31" s="366" t="s">
        <v>14</v>
      </c>
      <c r="H31" s="366" t="s">
        <v>14</v>
      </c>
      <c r="I31" s="342">
        <v>-6303</v>
      </c>
    </row>
    <row r="32" spans="2:9" ht="20.100000000000001" customHeight="1">
      <c r="B32" s="363" t="s">
        <v>191</v>
      </c>
      <c r="C32" s="24" t="s">
        <v>14</v>
      </c>
      <c r="D32" s="25" t="s">
        <v>14</v>
      </c>
      <c r="E32" s="25">
        <v>5087</v>
      </c>
      <c r="F32" s="366" t="s">
        <v>14</v>
      </c>
      <c r="G32" s="366" t="s">
        <v>14</v>
      </c>
      <c r="H32" s="366" t="s">
        <v>14</v>
      </c>
      <c r="I32" s="342">
        <v>5087</v>
      </c>
    </row>
    <row r="33" spans="2:9" ht="20.100000000000001" customHeight="1">
      <c r="B33" s="363" t="s">
        <v>105</v>
      </c>
      <c r="C33" s="24" t="s">
        <v>14</v>
      </c>
      <c r="D33" s="25" t="s">
        <v>14</v>
      </c>
      <c r="E33" s="25">
        <v>185</v>
      </c>
      <c r="F33" s="366">
        <v>-4639</v>
      </c>
      <c r="G33" s="366" t="s">
        <v>14</v>
      </c>
      <c r="H33" s="366" t="s">
        <v>14</v>
      </c>
      <c r="I33" s="342">
        <v>-4454</v>
      </c>
    </row>
    <row r="34" spans="2:9" ht="20.100000000000001" customHeight="1">
      <c r="B34" s="363" t="s">
        <v>100</v>
      </c>
      <c r="C34" s="24">
        <v>54790358</v>
      </c>
      <c r="D34" s="25">
        <v>152</v>
      </c>
      <c r="E34" s="25">
        <v>2159</v>
      </c>
      <c r="F34" s="366" t="s">
        <v>14</v>
      </c>
      <c r="G34" s="366" t="s">
        <v>14</v>
      </c>
      <c r="H34" s="366" t="s">
        <v>14</v>
      </c>
      <c r="I34" s="342">
        <v>2311</v>
      </c>
    </row>
    <row r="35" spans="2:9" ht="20.100000000000001" customHeight="1">
      <c r="B35" s="363" t="s">
        <v>101</v>
      </c>
      <c r="C35" s="24" t="s">
        <v>14</v>
      </c>
      <c r="D35" s="25" t="s">
        <v>14</v>
      </c>
      <c r="E35" s="25" t="s">
        <v>14</v>
      </c>
      <c r="F35" s="366" t="s">
        <v>14</v>
      </c>
      <c r="G35" s="366">
        <v>-4711935</v>
      </c>
      <c r="H35" s="366">
        <v>-237</v>
      </c>
      <c r="I35" s="342">
        <v>-237</v>
      </c>
    </row>
    <row r="36" spans="2:9" ht="20.100000000000001" customHeight="1">
      <c r="B36" s="363" t="s">
        <v>206</v>
      </c>
      <c r="C36" s="24" t="s">
        <v>14</v>
      </c>
      <c r="D36" s="25" t="s">
        <v>14</v>
      </c>
      <c r="E36" s="25">
        <v>-6</v>
      </c>
      <c r="F36" s="366" t="s">
        <v>14</v>
      </c>
      <c r="G36" s="366">
        <v>105590</v>
      </c>
      <c r="H36" s="366">
        <v>6</v>
      </c>
      <c r="I36" s="342" t="s">
        <v>14</v>
      </c>
    </row>
    <row r="37" spans="2:9" ht="20.100000000000001" customHeight="1">
      <c r="B37" s="363" t="s">
        <v>106</v>
      </c>
      <c r="C37" s="24" t="s">
        <v>14</v>
      </c>
      <c r="D37" s="25" t="s">
        <v>14</v>
      </c>
      <c r="E37" s="25">
        <v>101</v>
      </c>
      <c r="F37" s="366" t="s">
        <v>14</v>
      </c>
      <c r="G37" s="366" t="s">
        <v>14</v>
      </c>
      <c r="H37" s="366" t="s">
        <v>14</v>
      </c>
      <c r="I37" s="342">
        <v>101</v>
      </c>
    </row>
    <row r="38" spans="2:9" ht="20.100000000000001" customHeight="1">
      <c r="B38" s="363" t="s">
        <v>102</v>
      </c>
      <c r="C38" s="24" t="s">
        <v>14</v>
      </c>
      <c r="D38" s="25" t="s">
        <v>14</v>
      </c>
      <c r="E38" s="25" t="s">
        <v>14</v>
      </c>
      <c r="F38" s="366" t="s">
        <v>14</v>
      </c>
      <c r="G38" s="366" t="s">
        <v>14</v>
      </c>
      <c r="H38" s="366" t="s">
        <v>14</v>
      </c>
      <c r="I38" s="342" t="s">
        <v>14</v>
      </c>
    </row>
    <row r="39" spans="2:9" ht="20.100000000000001" customHeight="1">
      <c r="B39" s="363" t="s">
        <v>204</v>
      </c>
      <c r="C39" s="24" t="s">
        <v>14</v>
      </c>
      <c r="D39" s="25" t="s">
        <v>14</v>
      </c>
      <c r="E39" s="25">
        <v>5616</v>
      </c>
      <c r="F39" s="366" t="s">
        <v>14</v>
      </c>
      <c r="G39" s="366" t="s">
        <v>14</v>
      </c>
      <c r="H39" s="366" t="s">
        <v>14</v>
      </c>
      <c r="I39" s="342">
        <v>5616</v>
      </c>
    </row>
    <row r="40" spans="2:9" ht="20.100000000000001" customHeight="1">
      <c r="B40" s="363" t="s">
        <v>205</v>
      </c>
      <c r="C40" s="24" t="s">
        <v>14</v>
      </c>
      <c r="D40" s="25" t="s">
        <v>14</v>
      </c>
      <c r="E40" s="25">
        <v>-114</v>
      </c>
      <c r="F40" s="366" t="s">
        <v>14</v>
      </c>
      <c r="G40" s="366" t="s">
        <v>14</v>
      </c>
      <c r="H40" s="366" t="s">
        <v>14</v>
      </c>
      <c r="I40" s="342">
        <v>-114</v>
      </c>
    </row>
    <row r="41" spans="2:9" ht="20.100000000000001" customHeight="1">
      <c r="B41" s="365" t="s">
        <v>104</v>
      </c>
      <c r="C41" s="27" t="s">
        <v>14</v>
      </c>
      <c r="D41" s="28" t="s">
        <v>14</v>
      </c>
      <c r="E41" s="28">
        <v>23</v>
      </c>
      <c r="F41" s="367" t="s">
        <v>14</v>
      </c>
      <c r="G41" s="367" t="s">
        <v>14</v>
      </c>
      <c r="H41" s="367" t="s">
        <v>14</v>
      </c>
      <c r="I41" s="37">
        <v>23</v>
      </c>
    </row>
    <row r="42" spans="2:9" ht="20.100000000000001" customHeight="1">
      <c r="B42" s="365" t="s">
        <v>107</v>
      </c>
      <c r="C42" s="27" t="s">
        <v>14</v>
      </c>
      <c r="D42" s="28" t="s">
        <v>14</v>
      </c>
      <c r="E42" s="28">
        <v>134</v>
      </c>
      <c r="F42" s="367" t="s">
        <v>14</v>
      </c>
      <c r="G42" s="367" t="s">
        <v>14</v>
      </c>
      <c r="H42" s="367" t="s">
        <v>14</v>
      </c>
      <c r="I42" s="37">
        <v>134</v>
      </c>
    </row>
    <row r="43" spans="2:9" ht="20.100000000000001" customHeight="1">
      <c r="B43" s="433" t="s">
        <v>190</v>
      </c>
      <c r="C43" s="103">
        <v>2440057883</v>
      </c>
      <c r="D43" s="102">
        <v>7670</v>
      </c>
      <c r="E43" s="465">
        <v>101528</v>
      </c>
      <c r="F43" s="465">
        <v>-12119</v>
      </c>
      <c r="G43" s="465">
        <v>-113967758</v>
      </c>
      <c r="H43" s="465">
        <v>-4585</v>
      </c>
      <c r="I43" s="465">
        <v>92494</v>
      </c>
    </row>
    <row r="44" spans="2:9" ht="20.100000000000001" customHeight="1">
      <c r="B44" s="363" t="s">
        <v>99</v>
      </c>
      <c r="C44" s="24" t="s">
        <v>14</v>
      </c>
      <c r="D44" s="25" t="s">
        <v>14</v>
      </c>
      <c r="E44" s="25">
        <v>-6512</v>
      </c>
      <c r="F44" s="366" t="s">
        <v>14</v>
      </c>
      <c r="G44" s="366" t="s">
        <v>14</v>
      </c>
      <c r="H44" s="366" t="s">
        <v>14</v>
      </c>
      <c r="I44" s="342">
        <v>-6512</v>
      </c>
    </row>
    <row r="45" spans="2:9" ht="20.100000000000001" customHeight="1">
      <c r="B45" s="363" t="s">
        <v>242</v>
      </c>
      <c r="C45" s="24" t="s">
        <v>14</v>
      </c>
      <c r="D45" s="25" t="s">
        <v>14</v>
      </c>
      <c r="E45" s="25">
        <v>6196</v>
      </c>
      <c r="F45" s="366" t="s">
        <v>14</v>
      </c>
      <c r="G45" s="366" t="s">
        <v>14</v>
      </c>
      <c r="H45" s="366" t="s">
        <v>14</v>
      </c>
      <c r="I45" s="342">
        <v>6196</v>
      </c>
    </row>
    <row r="46" spans="2:9" ht="20.100000000000001" customHeight="1">
      <c r="B46" s="363" t="s">
        <v>105</v>
      </c>
      <c r="C46" s="24" t="s">
        <v>14</v>
      </c>
      <c r="D46" s="25" t="s">
        <v>14</v>
      </c>
      <c r="E46" s="25">
        <v>-108</v>
      </c>
      <c r="F46" s="366">
        <v>-1752</v>
      </c>
      <c r="G46" s="366" t="s">
        <v>14</v>
      </c>
      <c r="H46" s="366" t="s">
        <v>14</v>
      </c>
      <c r="I46" s="342">
        <v>-1860</v>
      </c>
    </row>
    <row r="47" spans="2:9" ht="20.100000000000001" customHeight="1">
      <c r="B47" s="363" t="s">
        <v>100</v>
      </c>
      <c r="C47" s="24">
        <v>90639247</v>
      </c>
      <c r="D47" s="25">
        <v>251</v>
      </c>
      <c r="E47" s="25">
        <v>3553</v>
      </c>
      <c r="F47" s="366" t="s">
        <v>14</v>
      </c>
      <c r="G47" s="366" t="s">
        <v>14</v>
      </c>
      <c r="H47" s="366" t="s">
        <v>14</v>
      </c>
      <c r="I47" s="342">
        <v>3804</v>
      </c>
    </row>
    <row r="48" spans="2:9" ht="20.100000000000001" customHeight="1">
      <c r="B48" s="363" t="s">
        <v>101</v>
      </c>
      <c r="C48" s="24" t="s">
        <v>14</v>
      </c>
      <c r="D48" s="25" t="s">
        <v>14</v>
      </c>
      <c r="E48" s="25" t="s">
        <v>14</v>
      </c>
      <c r="F48" s="366" t="s">
        <v>14</v>
      </c>
      <c r="G48" s="366" t="s">
        <v>14</v>
      </c>
      <c r="H48" s="366" t="s">
        <v>14</v>
      </c>
      <c r="I48" s="342" t="s">
        <v>14</v>
      </c>
    </row>
    <row r="49" spans="2:9" ht="20.100000000000001" customHeight="1">
      <c r="B49" s="363" t="s">
        <v>206</v>
      </c>
      <c r="C49" s="24" t="s">
        <v>14</v>
      </c>
      <c r="D49" s="25" t="s">
        <v>14</v>
      </c>
      <c r="E49" s="25">
        <v>-163</v>
      </c>
      <c r="F49" s="366" t="s">
        <v>14</v>
      </c>
      <c r="G49" s="366">
        <v>3048668</v>
      </c>
      <c r="H49" s="366">
        <v>163</v>
      </c>
      <c r="I49" s="342" t="s">
        <v>14</v>
      </c>
    </row>
    <row r="50" spans="2:9" ht="20.100000000000001" customHeight="1">
      <c r="B50" s="363" t="s">
        <v>106</v>
      </c>
      <c r="C50" s="24" t="s">
        <v>14</v>
      </c>
      <c r="D50" s="25" t="s">
        <v>14</v>
      </c>
      <c r="E50" s="25">
        <v>112</v>
      </c>
      <c r="F50" s="366" t="s">
        <v>14</v>
      </c>
      <c r="G50" s="366" t="s">
        <v>14</v>
      </c>
      <c r="H50" s="366" t="s">
        <v>14</v>
      </c>
      <c r="I50" s="342">
        <v>112</v>
      </c>
    </row>
    <row r="51" spans="2:9" ht="20.100000000000001" customHeight="1">
      <c r="B51" s="363" t="s">
        <v>102</v>
      </c>
      <c r="C51" s="24">
        <v>-100331268</v>
      </c>
      <c r="D51" s="25">
        <v>-317</v>
      </c>
      <c r="E51" s="25">
        <v>-3505</v>
      </c>
      <c r="F51" s="366" t="s">
        <v>14</v>
      </c>
      <c r="G51" s="366">
        <v>100331268</v>
      </c>
      <c r="H51" s="366">
        <v>3822</v>
      </c>
      <c r="I51" s="342" t="s">
        <v>14</v>
      </c>
    </row>
    <row r="52" spans="2:9" ht="20.100000000000001" customHeight="1">
      <c r="B52" s="363" t="s">
        <v>204</v>
      </c>
      <c r="C52" s="24" t="s">
        <v>14</v>
      </c>
      <c r="D52" s="25" t="s">
        <v>14</v>
      </c>
      <c r="E52" s="25">
        <v>4711</v>
      </c>
      <c r="F52" s="366" t="s">
        <v>14</v>
      </c>
      <c r="G52" s="366" t="s">
        <v>14</v>
      </c>
      <c r="H52" s="366" t="s">
        <v>14</v>
      </c>
      <c r="I52" s="342">
        <v>4711</v>
      </c>
    </row>
    <row r="53" spans="2:9" ht="20.100000000000001" customHeight="1">
      <c r="B53" s="363" t="s">
        <v>205</v>
      </c>
      <c r="C53" s="24" t="s">
        <v>14</v>
      </c>
      <c r="D53" s="25" t="s">
        <v>14</v>
      </c>
      <c r="E53" s="25">
        <v>-203</v>
      </c>
      <c r="F53" s="366" t="s">
        <v>14</v>
      </c>
      <c r="G53" s="366" t="s">
        <v>14</v>
      </c>
      <c r="H53" s="366" t="s">
        <v>14</v>
      </c>
      <c r="I53" s="342">
        <v>-203</v>
      </c>
    </row>
    <row r="54" spans="2:9" ht="20.100000000000001" customHeight="1">
      <c r="B54" s="365" t="s">
        <v>104</v>
      </c>
      <c r="C54" s="27" t="s">
        <v>14</v>
      </c>
      <c r="D54" s="28" t="s">
        <v>14</v>
      </c>
      <c r="E54" s="28">
        <v>-98</v>
      </c>
      <c r="F54" s="367" t="s">
        <v>14</v>
      </c>
      <c r="G54" s="367" t="s">
        <v>14</v>
      </c>
      <c r="H54" s="367" t="s">
        <v>14</v>
      </c>
      <c r="I54" s="37">
        <v>-98</v>
      </c>
    </row>
    <row r="55" spans="2:9" ht="20.100000000000001" customHeight="1">
      <c r="B55" s="365" t="s">
        <v>107</v>
      </c>
      <c r="C55" s="27" t="s">
        <v>14</v>
      </c>
      <c r="D55" s="28" t="s">
        <v>14</v>
      </c>
      <c r="E55" s="28">
        <v>36</v>
      </c>
      <c r="F55" s="367" t="s">
        <v>14</v>
      </c>
      <c r="G55" s="367" t="s">
        <v>14</v>
      </c>
      <c r="H55" s="367" t="s">
        <v>14</v>
      </c>
      <c r="I55" s="37">
        <v>36</v>
      </c>
    </row>
    <row r="56" spans="2:9" ht="20.100000000000001" customHeight="1">
      <c r="B56" s="39" t="s">
        <v>243</v>
      </c>
      <c r="C56" s="40">
        <f t="shared" ref="C56:I56" si="0">SUM(C43:C55)</f>
        <v>2430365862</v>
      </c>
      <c r="D56" s="41">
        <f t="shared" si="0"/>
        <v>7604</v>
      </c>
      <c r="E56" s="41">
        <f t="shared" si="0"/>
        <v>105547</v>
      </c>
      <c r="F56" s="41">
        <f t="shared" si="0"/>
        <v>-13871</v>
      </c>
      <c r="G56" s="41">
        <f t="shared" si="0"/>
        <v>-10587822</v>
      </c>
      <c r="H56" s="41">
        <f t="shared" si="0"/>
        <v>-600</v>
      </c>
      <c r="I56" s="41">
        <f t="shared" si="0"/>
        <v>98680</v>
      </c>
    </row>
    <row r="57" spans="2:9" ht="20.100000000000001" customHeight="1">
      <c r="B57" s="363" t="s">
        <v>99</v>
      </c>
      <c r="C57" s="24">
        <v>0</v>
      </c>
      <c r="D57" s="25">
        <v>0</v>
      </c>
      <c r="E57" s="25">
        <v>-6992</v>
      </c>
      <c r="F57" s="366">
        <v>0</v>
      </c>
      <c r="G57" s="366">
        <v>0</v>
      </c>
      <c r="H57" s="366">
        <v>0</v>
      </c>
      <c r="I57" s="342">
        <v>-6992</v>
      </c>
    </row>
    <row r="58" spans="2:9" ht="20.100000000000001" customHeight="1">
      <c r="B58" s="363" t="s">
        <v>242</v>
      </c>
      <c r="C58" s="24">
        <v>0</v>
      </c>
      <c r="D58" s="25">
        <v>0</v>
      </c>
      <c r="E58" s="25">
        <v>8631</v>
      </c>
      <c r="F58" s="366">
        <v>0</v>
      </c>
      <c r="G58" s="366">
        <v>0</v>
      </c>
      <c r="H58" s="366">
        <v>0</v>
      </c>
      <c r="I58" s="342">
        <v>8631</v>
      </c>
    </row>
    <row r="59" spans="2:9" ht="20.100000000000001" customHeight="1">
      <c r="B59" s="363" t="s">
        <v>105</v>
      </c>
      <c r="C59" s="24">
        <v>0</v>
      </c>
      <c r="D59" s="25">
        <v>0</v>
      </c>
      <c r="E59" s="25">
        <v>718</v>
      </c>
      <c r="F59" s="366">
        <v>5963</v>
      </c>
      <c r="G59" s="366">
        <v>0</v>
      </c>
      <c r="H59" s="366">
        <v>0</v>
      </c>
      <c r="I59" s="342">
        <v>6681</v>
      </c>
    </row>
    <row r="60" spans="2:9" ht="20.100000000000001" customHeight="1">
      <c r="B60" s="363" t="s">
        <v>100</v>
      </c>
      <c r="C60" s="24">
        <v>98623754</v>
      </c>
      <c r="D60" s="25">
        <v>278</v>
      </c>
      <c r="E60" s="25">
        <v>4431</v>
      </c>
      <c r="F60" s="366">
        <v>0</v>
      </c>
      <c r="G60" s="366">
        <v>0</v>
      </c>
      <c r="H60" s="366">
        <v>0</v>
      </c>
      <c r="I60" s="342">
        <v>4709</v>
      </c>
    </row>
    <row r="61" spans="2:9" ht="20.100000000000001" customHeight="1">
      <c r="B61" s="363" t="s">
        <v>101</v>
      </c>
      <c r="C61" s="24">
        <v>0</v>
      </c>
      <c r="D61" s="25">
        <v>0</v>
      </c>
      <c r="E61" s="25">
        <v>0</v>
      </c>
      <c r="F61" s="366">
        <v>0</v>
      </c>
      <c r="G61" s="366">
        <v>0</v>
      </c>
      <c r="H61" s="366">
        <v>0</v>
      </c>
      <c r="I61" s="342">
        <v>0</v>
      </c>
    </row>
    <row r="62" spans="2:9" ht="20.100000000000001" customHeight="1">
      <c r="B62" s="363" t="s">
        <v>206</v>
      </c>
      <c r="C62" s="24">
        <v>0</v>
      </c>
      <c r="D62" s="25">
        <v>0</v>
      </c>
      <c r="E62" s="25">
        <v>-142</v>
      </c>
      <c r="F62" s="366">
        <v>0</v>
      </c>
      <c r="G62" s="366">
        <v>2211066</v>
      </c>
      <c r="H62" s="366">
        <v>142</v>
      </c>
      <c r="I62" s="342">
        <v>0</v>
      </c>
    </row>
    <row r="63" spans="2:9" ht="20.100000000000001" customHeight="1">
      <c r="B63" s="363" t="s">
        <v>106</v>
      </c>
      <c r="C63" s="24">
        <v>0</v>
      </c>
      <c r="D63" s="25">
        <v>0</v>
      </c>
      <c r="E63" s="25">
        <v>151</v>
      </c>
      <c r="F63" s="366">
        <v>0</v>
      </c>
      <c r="G63" s="366">
        <v>0</v>
      </c>
      <c r="H63" s="366">
        <v>0</v>
      </c>
      <c r="I63" s="342">
        <v>151</v>
      </c>
    </row>
    <row r="64" spans="2:9" ht="20.100000000000001" customHeight="1">
      <c r="B64" s="363" t="s">
        <v>102</v>
      </c>
      <c r="C64" s="24">
        <v>0</v>
      </c>
      <c r="D64" s="25">
        <v>0</v>
      </c>
      <c r="E64" s="25">
        <v>0</v>
      </c>
      <c r="F64" s="366">
        <v>0</v>
      </c>
      <c r="G64" s="366">
        <v>0</v>
      </c>
      <c r="H64" s="366">
        <v>0</v>
      </c>
      <c r="I64" s="342">
        <v>0</v>
      </c>
    </row>
    <row r="65" spans="2:9" ht="20.100000000000001" customHeight="1">
      <c r="B65" s="363" t="s">
        <v>204</v>
      </c>
      <c r="C65" s="24">
        <v>0</v>
      </c>
      <c r="D65" s="25">
        <v>0</v>
      </c>
      <c r="E65" s="25">
        <v>0</v>
      </c>
      <c r="F65" s="366">
        <v>0</v>
      </c>
      <c r="G65" s="366">
        <v>0</v>
      </c>
      <c r="H65" s="366">
        <v>0</v>
      </c>
      <c r="I65" s="342">
        <v>0</v>
      </c>
    </row>
    <row r="66" spans="2:9" ht="20.100000000000001" customHeight="1">
      <c r="B66" s="363" t="s">
        <v>205</v>
      </c>
      <c r="C66" s="24">
        <v>0</v>
      </c>
      <c r="D66" s="25">
        <v>0</v>
      </c>
      <c r="E66" s="25">
        <v>-302</v>
      </c>
      <c r="F66" s="366">
        <v>0</v>
      </c>
      <c r="G66" s="366">
        <v>0</v>
      </c>
      <c r="H66" s="366">
        <v>0</v>
      </c>
      <c r="I66" s="342">
        <v>-302</v>
      </c>
    </row>
    <row r="67" spans="2:9" ht="20.100000000000001" customHeight="1">
      <c r="B67" s="365" t="s">
        <v>104</v>
      </c>
      <c r="C67" s="27">
        <v>0</v>
      </c>
      <c r="D67" s="28">
        <v>0</v>
      </c>
      <c r="E67" s="28">
        <v>-8</v>
      </c>
      <c r="F67" s="367">
        <v>0</v>
      </c>
      <c r="G67" s="367">
        <v>0</v>
      </c>
      <c r="H67" s="367">
        <v>0</v>
      </c>
      <c r="I67" s="37">
        <v>-8</v>
      </c>
    </row>
    <row r="68" spans="2:9" ht="20.100000000000001" customHeight="1">
      <c r="B68" s="365" t="s">
        <v>107</v>
      </c>
      <c r="C68" s="27">
        <v>0</v>
      </c>
      <c r="D68" s="28">
        <v>0</v>
      </c>
      <c r="E68" s="28">
        <v>6</v>
      </c>
      <c r="F68" s="367">
        <v>0</v>
      </c>
      <c r="G68" s="367">
        <v>0</v>
      </c>
      <c r="H68" s="367">
        <v>0</v>
      </c>
      <c r="I68" s="37">
        <v>6</v>
      </c>
    </row>
    <row r="69" spans="2:9" ht="20.100000000000001" customHeight="1">
      <c r="B69" s="39" t="s">
        <v>304</v>
      </c>
      <c r="C69" s="40">
        <v>2528989616</v>
      </c>
      <c r="D69" s="41">
        <v>7882</v>
      </c>
      <c r="E69" s="41">
        <v>112040</v>
      </c>
      <c r="F69" s="41">
        <v>-7908</v>
      </c>
      <c r="G69" s="41">
        <v>-8376756</v>
      </c>
      <c r="H69" s="41">
        <v>-458</v>
      </c>
      <c r="I69" s="41">
        <v>111556</v>
      </c>
    </row>
    <row r="71" spans="2:9" ht="20.100000000000001" customHeight="1">
      <c r="B71" s="1173" t="s">
        <v>207</v>
      </c>
      <c r="C71" s="1173"/>
      <c r="D71" s="1173"/>
      <c r="E71" s="1173"/>
      <c r="F71" s="1173"/>
    </row>
    <row r="89" ht="14.1" customHeight="1"/>
    <row r="90" ht="14.1" customHeight="1"/>
    <row r="91" ht="14.1" customHeight="1"/>
    <row r="120" ht="15.75" customHeight="1"/>
    <row r="121" ht="15" customHeight="1"/>
  </sheetData>
  <mergeCells count="7">
    <mergeCell ref="B71:F71"/>
    <mergeCell ref="B2:I2"/>
    <mergeCell ref="C4:D4"/>
    <mergeCell ref="E4:E5"/>
    <mergeCell ref="F4:F5"/>
    <mergeCell ref="G4:H4"/>
    <mergeCell ref="I4:I5"/>
  </mergeCells>
  <pageMargins left="0.55118110236220474" right="0.43307086614173229" top="0.98425196850393704" bottom="0.59055118110236227" header="0.51181102362204722" footer="0.15748031496062992"/>
  <pageSetup paperSize="9" scale="56" fitToHeight="2"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21">
    <tabColor rgb="FF0076BD"/>
    <pageSetUpPr fitToPage="1"/>
  </sheetPr>
  <dimension ref="B2:J10"/>
  <sheetViews>
    <sheetView showGridLines="0" view="pageBreakPreview" zoomScaleNormal="130" zoomScaleSheetLayoutView="100" zoomScalePageLayoutView="130" workbookViewId="0">
      <selection activeCell="H17" sqref="H17"/>
    </sheetView>
  </sheetViews>
  <sheetFormatPr defaultColWidth="11" defaultRowHeight="20.100000000000001" customHeight="1"/>
  <cols>
    <col min="1" max="1" width="5.5" style="451" customWidth="1"/>
    <col min="2" max="2" width="26.125" style="451" customWidth="1"/>
    <col min="3" max="10" width="10.5" style="451" customWidth="1"/>
    <col min="11" max="12" width="11" style="451"/>
    <col min="13" max="13" width="10.375" style="451" customWidth="1"/>
    <col min="14" max="14" width="0" style="451" hidden="1" customWidth="1"/>
    <col min="15" max="16384" width="11" style="451"/>
  </cols>
  <sheetData>
    <row r="2" spans="2:10" ht="20.100000000000001" customHeight="1">
      <c r="B2" s="1156" t="str">
        <f>UPPER("Net-debt-to-equity ratio")</f>
        <v>NET-DEBT-TO-EQUITY RATIO</v>
      </c>
      <c r="C2" s="1156"/>
      <c r="D2" s="1156"/>
      <c r="E2" s="1156"/>
      <c r="F2" s="1156"/>
      <c r="G2" s="1156"/>
      <c r="H2" s="1156"/>
      <c r="I2" s="1156"/>
      <c r="J2" s="1156"/>
    </row>
    <row r="3" spans="2:10" ht="20.100000000000001" customHeight="1">
      <c r="F3" s="75"/>
    </row>
    <row r="4" spans="2:10" ht="20.100000000000001" customHeight="1">
      <c r="B4" s="56" t="s">
        <v>45</v>
      </c>
      <c r="C4" s="56"/>
      <c r="D4" s="56"/>
    </row>
    <row r="5" spans="2:10" ht="20.100000000000001" customHeight="1">
      <c r="B5" s="22" t="s">
        <v>174</v>
      </c>
      <c r="C5" s="368">
        <v>2017</v>
      </c>
      <c r="D5" s="368">
        <v>2016</v>
      </c>
      <c r="E5" s="368">
        <v>2015</v>
      </c>
      <c r="F5" s="368">
        <v>2014</v>
      </c>
      <c r="G5" s="345">
        <v>2013</v>
      </c>
    </row>
    <row r="6" spans="2:10" ht="20.100000000000001" customHeight="1">
      <c r="B6" s="363" t="s">
        <v>229</v>
      </c>
      <c r="C6" s="186">
        <v>15424</v>
      </c>
      <c r="D6" s="136">
        <v>27121</v>
      </c>
      <c r="E6" s="136">
        <v>26586</v>
      </c>
      <c r="F6" s="136">
        <v>28754</v>
      </c>
      <c r="G6" s="358">
        <v>23612</v>
      </c>
    </row>
    <row r="7" spans="2:10" ht="20.100000000000001" customHeight="1">
      <c r="B7" s="365" t="s">
        <v>108</v>
      </c>
      <c r="C7" s="188">
        <v>112163</v>
      </c>
      <c r="D7" s="137">
        <v>99993</v>
      </c>
      <c r="E7" s="137">
        <v>93864</v>
      </c>
      <c r="F7" s="137">
        <v>91845</v>
      </c>
      <c r="G7" s="359">
        <v>101471</v>
      </c>
    </row>
    <row r="8" spans="2:10" ht="20.100000000000001" customHeight="1">
      <c r="B8" s="57" t="s">
        <v>109</v>
      </c>
      <c r="C8" s="361">
        <v>0.13800000000000001</v>
      </c>
      <c r="D8" s="361">
        <v>0.27100000000000002</v>
      </c>
      <c r="E8" s="361">
        <v>0.28299999999999997</v>
      </c>
      <c r="F8" s="361">
        <v>0.313</v>
      </c>
      <c r="G8" s="361">
        <v>0.23300000000000001</v>
      </c>
    </row>
    <row r="10" spans="2:10" ht="26.1" customHeight="1"/>
  </sheetData>
  <mergeCells count="1">
    <mergeCell ref="B2:J2"/>
  </mergeCells>
  <pageMargins left="0.74803149606299213" right="0.74803149606299213" top="0.98425196850393704" bottom="0.98425196850393704" header="0.51181102362204722" footer="0.51181102362204722"/>
  <pageSetup paperSize="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22">
    <tabColor rgb="FF0076BD"/>
    <pageSetUpPr fitToPage="1"/>
  </sheetPr>
  <dimension ref="B2:G22"/>
  <sheetViews>
    <sheetView showGridLines="0" view="pageBreakPreview" zoomScaleSheetLayoutView="100" workbookViewId="0">
      <selection activeCell="H17" sqref="H17"/>
    </sheetView>
  </sheetViews>
  <sheetFormatPr defaultColWidth="11" defaultRowHeight="20.100000000000001" customHeight="1"/>
  <cols>
    <col min="1" max="1" width="5.5" style="451" customWidth="1"/>
    <col min="2" max="2" width="26.125" style="451" customWidth="1"/>
    <col min="3" max="4" width="10.875" style="451" customWidth="1"/>
    <col min="5" max="12" width="11" style="451"/>
    <col min="13" max="13" width="10.375" style="451" customWidth="1"/>
    <col min="14" max="14" width="0" style="451" hidden="1" customWidth="1"/>
    <col min="15" max="16384" width="11" style="451"/>
  </cols>
  <sheetData>
    <row r="2" spans="2:7" ht="20.100000000000001" customHeight="1">
      <c r="B2" s="1156" t="str">
        <f>UPPER("Capital employed based on replacement cost by business segment")</f>
        <v>CAPITAL EMPLOYED BASED ON REPLACEMENT COST BY BUSINESS SEGMENT</v>
      </c>
      <c r="C2" s="1156"/>
      <c r="D2" s="1156"/>
      <c r="E2" s="1156"/>
      <c r="F2" s="1156"/>
      <c r="G2" s="1156"/>
    </row>
    <row r="4" spans="2:7" ht="20.100000000000001" customHeight="1">
      <c r="B4" s="56" t="s">
        <v>45</v>
      </c>
      <c r="C4" s="259">
        <v>2017</v>
      </c>
      <c r="D4" s="259">
        <v>2016</v>
      </c>
      <c r="E4" s="152">
        <v>2015</v>
      </c>
      <c r="F4" s="259">
        <v>2014</v>
      </c>
      <c r="G4" s="355">
        <v>2013</v>
      </c>
    </row>
    <row r="5" spans="2:7" ht="20.100000000000001" customHeight="1">
      <c r="B5" s="58" t="s">
        <v>13</v>
      </c>
      <c r="C5" s="356"/>
      <c r="D5" s="356"/>
      <c r="E5" s="356"/>
      <c r="F5" s="356"/>
      <c r="G5" s="356"/>
    </row>
    <row r="6" spans="2:7" ht="20.100000000000001" customHeight="1">
      <c r="B6" s="509" t="s">
        <v>318</v>
      </c>
      <c r="C6" s="186">
        <v>107921</v>
      </c>
      <c r="D6" s="122">
        <v>107617</v>
      </c>
      <c r="E6" s="122">
        <v>103791</v>
      </c>
      <c r="F6" s="122">
        <v>100497</v>
      </c>
      <c r="G6" s="122">
        <v>95529</v>
      </c>
    </row>
    <row r="7" spans="2:7" ht="20.100000000000001" customHeight="1">
      <c r="B7" s="509" t="s">
        <v>317</v>
      </c>
      <c r="C7" s="186">
        <v>4692</v>
      </c>
      <c r="D7" s="122">
        <v>4975</v>
      </c>
      <c r="E7" s="122">
        <v>4340</v>
      </c>
      <c r="F7" s="122"/>
      <c r="G7" s="122"/>
    </row>
    <row r="8" spans="2:7" ht="20.100000000000001" customHeight="1">
      <c r="B8" s="509" t="s">
        <v>146</v>
      </c>
      <c r="C8" s="186">
        <v>11045</v>
      </c>
      <c r="D8" s="122">
        <v>11618</v>
      </c>
      <c r="E8" s="122">
        <v>10454</v>
      </c>
      <c r="F8" s="122">
        <v>13451</v>
      </c>
      <c r="G8" s="122">
        <v>19752</v>
      </c>
    </row>
    <row r="9" spans="2:7" ht="20.100000000000001" customHeight="1">
      <c r="B9" s="363" t="s">
        <v>147</v>
      </c>
      <c r="C9" s="186">
        <v>6929</v>
      </c>
      <c r="D9" s="122">
        <v>5884</v>
      </c>
      <c r="E9" s="122">
        <v>5875</v>
      </c>
      <c r="F9" s="122">
        <v>8825</v>
      </c>
      <c r="G9" s="122">
        <v>10051</v>
      </c>
    </row>
    <row r="10" spans="2:7" ht="20.100000000000001" customHeight="1">
      <c r="B10" s="365" t="s">
        <v>35</v>
      </c>
      <c r="C10" s="188">
        <v>-2860</v>
      </c>
      <c r="D10" s="123">
        <v>-2671</v>
      </c>
      <c r="E10" s="123">
        <v>-3317</v>
      </c>
      <c r="F10" s="123">
        <v>-2247</v>
      </c>
      <c r="G10" s="123">
        <v>-2881</v>
      </c>
    </row>
    <row r="11" spans="2:7" ht="20.100000000000001" customHeight="1">
      <c r="B11" s="20" t="s">
        <v>36</v>
      </c>
      <c r="C11" s="35">
        <v>127727</v>
      </c>
      <c r="D11" s="429">
        <v>127423</v>
      </c>
      <c r="E11" s="429">
        <v>121143</v>
      </c>
      <c r="F11" s="429">
        <v>120526</v>
      </c>
      <c r="G11" s="429">
        <v>122451</v>
      </c>
    </row>
    <row r="12" spans="2:7" ht="20.100000000000001" customHeight="1">
      <c r="B12" s="85"/>
      <c r="C12" s="85"/>
      <c r="D12" s="85"/>
      <c r="E12" s="84"/>
      <c r="F12" s="84"/>
      <c r="G12" s="84"/>
    </row>
    <row r="13" spans="2:7" ht="20.100000000000001" customHeight="1">
      <c r="B13" s="450"/>
      <c r="C13" s="450"/>
      <c r="D13" s="450"/>
    </row>
    <row r="17" spans="6:7" ht="20.100000000000001" customHeight="1">
      <c r="F17" s="55"/>
      <c r="G17" s="55"/>
    </row>
    <row r="18" spans="6:7" ht="20.100000000000001" customHeight="1">
      <c r="F18" s="55"/>
      <c r="G18" s="55"/>
    </row>
    <row r="19" spans="6:7" ht="20.100000000000001" customHeight="1">
      <c r="F19" s="55"/>
      <c r="G19" s="55"/>
    </row>
    <row r="20" spans="6:7" ht="20.100000000000001" customHeight="1">
      <c r="F20" s="55"/>
      <c r="G20" s="55"/>
    </row>
    <row r="21" spans="6:7" ht="20.100000000000001" customHeight="1">
      <c r="F21" s="55"/>
      <c r="G21" s="55"/>
    </row>
    <row r="22" spans="6:7" ht="20.100000000000001" customHeight="1">
      <c r="F22" s="55"/>
      <c r="G22" s="55"/>
    </row>
  </sheetData>
  <mergeCells count="1">
    <mergeCell ref="B2:G2"/>
  </mergeCells>
  <pageMargins left="0.74803149606299213" right="0.74803149606299213" top="0.98425196850393704" bottom="0.98425196850393704" header="0.51181102362204722" footer="0.51181102362204722"/>
  <pageSetup paperSize="9" scale="91"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23">
    <tabColor rgb="FF0076BD"/>
    <pageSetUpPr fitToPage="1"/>
  </sheetPr>
  <dimension ref="B2:H23"/>
  <sheetViews>
    <sheetView showGridLines="0" view="pageBreakPreview" zoomScaleNormal="115" zoomScaleSheetLayoutView="100" zoomScalePageLayoutView="115" workbookViewId="0">
      <selection activeCell="H17" sqref="H17"/>
    </sheetView>
  </sheetViews>
  <sheetFormatPr defaultColWidth="11" defaultRowHeight="20.100000000000001" customHeight="1"/>
  <cols>
    <col min="1" max="1" width="5.5" style="451" customWidth="1"/>
    <col min="2" max="2" width="39.375" style="451" customWidth="1"/>
    <col min="3" max="8" width="10.5" style="451" customWidth="1"/>
    <col min="9" max="11" width="11" style="451"/>
    <col min="12" max="12" width="10.375" style="451" customWidth="1"/>
    <col min="13" max="13" width="0" style="451" hidden="1" customWidth="1"/>
    <col min="14" max="16384" width="11" style="451"/>
  </cols>
  <sheetData>
    <row r="2" spans="2:8" ht="20.100000000000001" customHeight="1">
      <c r="B2" s="1156" t="str">
        <f>UPPER("Capital employed")</f>
        <v>CAPITAL EMPLOYED</v>
      </c>
      <c r="C2" s="1156"/>
      <c r="D2" s="1156"/>
      <c r="E2" s="1156"/>
      <c r="F2" s="1156"/>
      <c r="G2" s="1156"/>
      <c r="H2" s="1156"/>
    </row>
    <row r="3" spans="2:8" ht="20.100000000000001" customHeight="1">
      <c r="B3" s="449"/>
      <c r="C3" s="449"/>
      <c r="D3" s="449"/>
    </row>
    <row r="4" spans="2:8" ht="20.100000000000001" customHeight="1">
      <c r="D4" s="1172"/>
      <c r="E4" s="1172"/>
      <c r="F4" s="1172"/>
      <c r="G4" s="1172"/>
      <c r="H4" s="1172"/>
    </row>
    <row r="5" spans="2:8" ht="20.100000000000001" customHeight="1">
      <c r="B5" s="56" t="s">
        <v>45</v>
      </c>
      <c r="C5" s="154">
        <v>2017</v>
      </c>
      <c r="D5" s="154">
        <v>2016</v>
      </c>
      <c r="E5" s="154">
        <v>2015</v>
      </c>
      <c r="F5" s="154">
        <v>2014</v>
      </c>
      <c r="G5" s="357">
        <v>2013</v>
      </c>
    </row>
    <row r="6" spans="2:8" ht="20.100000000000001" customHeight="1">
      <c r="B6" s="22" t="s">
        <v>13</v>
      </c>
      <c r="C6" s="152"/>
      <c r="D6" s="356"/>
      <c r="E6" s="356"/>
      <c r="F6" s="356"/>
      <c r="G6" s="356"/>
    </row>
    <row r="7" spans="2:8" ht="20.100000000000001" customHeight="1">
      <c r="B7" s="78" t="s">
        <v>225</v>
      </c>
      <c r="C7" s="199">
        <f>157005</f>
        <v>157005</v>
      </c>
      <c r="D7" s="351">
        <v>157553</v>
      </c>
      <c r="E7" s="351">
        <v>153029</v>
      </c>
      <c r="F7" s="351">
        <v>150502</v>
      </c>
      <c r="G7" s="358">
        <v>153202</v>
      </c>
    </row>
    <row r="8" spans="2:8" ht="20.100000000000001" customHeight="1">
      <c r="B8" s="78" t="s">
        <v>110</v>
      </c>
      <c r="C8" s="200">
        <v>1641</v>
      </c>
      <c r="D8" s="351">
        <v>446</v>
      </c>
      <c r="E8" s="351">
        <v>826</v>
      </c>
      <c r="F8" s="351">
        <v>3085</v>
      </c>
      <c r="G8" s="358">
        <v>2210</v>
      </c>
    </row>
    <row r="9" spans="2:8" ht="20.100000000000001" customHeight="1">
      <c r="B9" s="363" t="s">
        <v>111</v>
      </c>
      <c r="C9" s="200">
        <v>1365</v>
      </c>
      <c r="D9" s="351">
        <v>2348</v>
      </c>
      <c r="E9" s="351">
        <v>1776</v>
      </c>
      <c r="F9" s="351">
        <v>5811</v>
      </c>
      <c r="G9" s="358">
        <v>11181</v>
      </c>
    </row>
    <row r="10" spans="2:8" ht="20.100000000000001" customHeight="1">
      <c r="B10" s="79" t="s">
        <v>168</v>
      </c>
      <c r="C10" s="376">
        <v>-30549</v>
      </c>
      <c r="D10" s="126">
        <v>-31652</v>
      </c>
      <c r="E10" s="126">
        <v>-33636</v>
      </c>
      <c r="F10" s="126">
        <v>-37113</v>
      </c>
      <c r="G10" s="359">
        <v>-39602</v>
      </c>
    </row>
    <row r="11" spans="2:8" ht="20.100000000000001" customHeight="1">
      <c r="B11" s="20" t="s">
        <v>112</v>
      </c>
      <c r="C11" s="347">
        <v>129462</v>
      </c>
      <c r="D11" s="347">
        <v>128695</v>
      </c>
      <c r="E11" s="347">
        <v>121995</v>
      </c>
      <c r="F11" s="347">
        <v>122285</v>
      </c>
      <c r="G11" s="347">
        <v>126991</v>
      </c>
    </row>
    <row r="12" spans="2:8" ht="20.100000000000001" customHeight="1">
      <c r="C12" s="42"/>
      <c r="D12" s="42"/>
      <c r="E12" s="42"/>
      <c r="F12" s="42"/>
      <c r="G12" s="42"/>
    </row>
    <row r="13" spans="2:8" ht="14.1" customHeight="1"/>
    <row r="14" spans="2:8" ht="23.25" customHeight="1"/>
    <row r="15" spans="2:8" ht="20.100000000000001" customHeight="1">
      <c r="B15" s="1178"/>
      <c r="C15" s="1178"/>
      <c r="D15" s="1178"/>
      <c r="E15" s="1178"/>
      <c r="F15" s="1178"/>
      <c r="G15" s="1178"/>
      <c r="H15" s="1178"/>
    </row>
    <row r="23" spans="2:7" ht="20.100000000000001" customHeight="1">
      <c r="B23" s="85"/>
      <c r="C23" s="85"/>
      <c r="D23" s="85"/>
      <c r="E23" s="84"/>
      <c r="F23" s="84"/>
      <c r="G23" s="84"/>
    </row>
  </sheetData>
  <mergeCells count="3">
    <mergeCell ref="B2:H2"/>
    <mergeCell ref="B15:H15"/>
    <mergeCell ref="D4:H4"/>
  </mergeCells>
  <pageMargins left="0.74803149606299213" right="0.74803149606299213" top="0.98425196850393704" bottom="0.98425196850393704" header="0.51181102362204722" footer="0.51181102362204722"/>
  <pageSetup paperSize="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24">
    <tabColor rgb="FF0076BD"/>
    <pageSetUpPr fitToPage="1"/>
  </sheetPr>
  <dimension ref="B2:M29"/>
  <sheetViews>
    <sheetView showGridLines="0" view="pageBreakPreview" zoomScaleNormal="85" zoomScaleSheetLayoutView="100" zoomScalePageLayoutView="85" workbookViewId="0"/>
  </sheetViews>
  <sheetFormatPr defaultColWidth="11" defaultRowHeight="20.100000000000001" customHeight="1"/>
  <cols>
    <col min="1" max="1" width="5.5" style="451" customWidth="1"/>
    <col min="2" max="2" width="32.875" style="451" customWidth="1"/>
    <col min="3" max="8" width="10.5" style="451" customWidth="1"/>
    <col min="9" max="11" width="10.5" style="42" customWidth="1"/>
    <col min="12" max="13" width="10.5" style="451" customWidth="1"/>
    <col min="14" max="14" width="10.375" style="451" customWidth="1"/>
    <col min="15" max="15" width="0" style="451" hidden="1" customWidth="1"/>
    <col min="16" max="16384" width="11" style="451"/>
  </cols>
  <sheetData>
    <row r="2" spans="2:13" ht="20.100000000000001" customHeight="1">
      <c r="B2" s="1156" t="str">
        <f>UPPER("ROACE by business segment")</f>
        <v>ROACE BY BUSINESS SEGMENT</v>
      </c>
      <c r="C2" s="1156"/>
      <c r="D2" s="1156"/>
      <c r="E2" s="1156"/>
      <c r="F2" s="1156"/>
    </row>
    <row r="4" spans="2:13" ht="20.100000000000001" customHeight="1">
      <c r="B4" s="22" t="s">
        <v>183</v>
      </c>
      <c r="C4" s="368">
        <v>2017</v>
      </c>
      <c r="D4" s="368">
        <v>2016</v>
      </c>
      <c r="E4" s="368">
        <v>2015</v>
      </c>
      <c r="F4" s="368">
        <v>2014</v>
      </c>
      <c r="G4" s="368">
        <v>2013</v>
      </c>
    </row>
    <row r="5" spans="2:13" ht="20.100000000000001" customHeight="1">
      <c r="B5" s="15" t="s">
        <v>318</v>
      </c>
      <c r="C5" s="202"/>
      <c r="D5" s="322"/>
      <c r="E5" s="322"/>
      <c r="F5" s="322"/>
      <c r="G5" s="322"/>
    </row>
    <row r="6" spans="2:13" ht="20.100000000000001" customHeight="1">
      <c r="B6" s="341" t="s">
        <v>113</v>
      </c>
      <c r="C6" s="376">
        <v>5985</v>
      </c>
      <c r="D6" s="351">
        <v>3217</v>
      </c>
      <c r="E6" s="351">
        <v>4330</v>
      </c>
      <c r="F6" s="351">
        <v>10504</v>
      </c>
      <c r="G6" s="351">
        <v>12450</v>
      </c>
      <c r="J6" s="451"/>
    </row>
    <row r="7" spans="2:13" ht="20.100000000000001" customHeight="1">
      <c r="B7" s="7" t="s">
        <v>208</v>
      </c>
      <c r="C7" s="377">
        <v>107769</v>
      </c>
      <c r="D7" s="536">
        <v>105704</v>
      </c>
      <c r="E7" s="536">
        <v>101134</v>
      </c>
      <c r="F7" s="536">
        <v>98013</v>
      </c>
      <c r="G7" s="536">
        <v>89895</v>
      </c>
      <c r="J7" s="451"/>
    </row>
    <row r="8" spans="2:13" ht="20.100000000000001" customHeight="1">
      <c r="B8" s="433" t="s">
        <v>114</v>
      </c>
      <c r="C8" s="535">
        <v>5.5500000000000001E-2</v>
      </c>
      <c r="D8" s="537">
        <v>3.04E-2</v>
      </c>
      <c r="E8" s="537">
        <v>4.2799999999999998E-2</v>
      </c>
      <c r="F8" s="537">
        <v>0.107</v>
      </c>
      <c r="G8" s="537">
        <v>0.13800000000000001</v>
      </c>
      <c r="H8" s="455"/>
      <c r="I8" s="455"/>
      <c r="K8" s="455"/>
      <c r="L8" s="455"/>
      <c r="M8" s="455"/>
    </row>
    <row r="9" spans="2:13" ht="20.100000000000001" customHeight="1">
      <c r="B9" s="15" t="s">
        <v>317</v>
      </c>
      <c r="C9" s="190"/>
      <c r="D9" s="182"/>
      <c r="E9" s="182"/>
      <c r="F9" s="182"/>
      <c r="G9" s="182"/>
      <c r="J9" s="451"/>
    </row>
    <row r="10" spans="2:13" ht="20.100000000000001" customHeight="1">
      <c r="B10" s="341" t="s">
        <v>113</v>
      </c>
      <c r="C10" s="376">
        <v>485</v>
      </c>
      <c r="D10" s="351">
        <v>439</v>
      </c>
      <c r="E10" s="351">
        <v>567</v>
      </c>
      <c r="F10" s="351"/>
      <c r="G10" s="351"/>
    </row>
    <row r="11" spans="2:13" ht="20.100000000000001" customHeight="1">
      <c r="B11" s="7" t="s">
        <v>208</v>
      </c>
      <c r="C11" s="377">
        <v>4834</v>
      </c>
      <c r="D11" s="536">
        <v>4658</v>
      </c>
      <c r="E11" s="536">
        <v>4260</v>
      </c>
      <c r="F11" s="536"/>
      <c r="G11" s="536"/>
    </row>
    <row r="12" spans="2:13" ht="20.100000000000001" customHeight="1">
      <c r="B12" s="433" t="s">
        <v>114</v>
      </c>
      <c r="C12" s="535">
        <v>0.1003</v>
      </c>
      <c r="D12" s="534">
        <v>9.4200000000000006E-2</v>
      </c>
      <c r="E12" s="534">
        <v>0.1331</v>
      </c>
      <c r="F12" s="534"/>
      <c r="G12" s="534"/>
    </row>
    <row r="13" spans="2:13" ht="20.100000000000001" customHeight="1">
      <c r="B13" s="15" t="s">
        <v>146</v>
      </c>
      <c r="C13" s="190"/>
      <c r="D13" s="182"/>
      <c r="E13" s="182"/>
      <c r="F13" s="182"/>
      <c r="G13" s="182"/>
    </row>
    <row r="14" spans="2:13" ht="20.100000000000001" customHeight="1">
      <c r="B14" s="341" t="s">
        <v>113</v>
      </c>
      <c r="C14" s="376">
        <v>3790</v>
      </c>
      <c r="D14" s="351">
        <v>4195</v>
      </c>
      <c r="E14" s="351">
        <v>4839</v>
      </c>
      <c r="F14" s="351">
        <v>2489</v>
      </c>
      <c r="G14" s="351">
        <v>1857</v>
      </c>
    </row>
    <row r="15" spans="2:13" ht="20.100000000000001" customHeight="1">
      <c r="B15" s="7" t="s">
        <v>209</v>
      </c>
      <c r="C15" s="377">
        <v>11332</v>
      </c>
      <c r="D15" s="536">
        <v>11036</v>
      </c>
      <c r="E15" s="536">
        <v>11995</v>
      </c>
      <c r="F15" s="536">
        <v>16602</v>
      </c>
      <c r="G15" s="536">
        <v>20268</v>
      </c>
    </row>
    <row r="16" spans="2:13" ht="20.100000000000001" customHeight="1">
      <c r="B16" s="433" t="s">
        <v>114</v>
      </c>
      <c r="C16" s="535">
        <v>0.33450000000000002</v>
      </c>
      <c r="D16" s="534">
        <v>0.38009999999999999</v>
      </c>
      <c r="E16" s="534">
        <v>0.40339999999999998</v>
      </c>
      <c r="F16" s="534">
        <v>0.15</v>
      </c>
      <c r="G16" s="534">
        <v>9.1999999999999998E-2</v>
      </c>
    </row>
    <row r="17" spans="2:8" ht="20.100000000000001" customHeight="1">
      <c r="B17" s="15" t="s">
        <v>147</v>
      </c>
      <c r="C17" s="190"/>
      <c r="D17" s="182"/>
      <c r="E17" s="182"/>
      <c r="F17" s="182"/>
      <c r="G17" s="182"/>
    </row>
    <row r="18" spans="2:8" ht="20.100000000000001" customHeight="1">
      <c r="B18" s="341" t="s">
        <v>113</v>
      </c>
      <c r="C18" s="376">
        <v>1676</v>
      </c>
      <c r="D18" s="351">
        <v>1559</v>
      </c>
      <c r="E18" s="351">
        <v>1591</v>
      </c>
      <c r="F18" s="351">
        <v>1254</v>
      </c>
      <c r="G18" s="351">
        <v>1554</v>
      </c>
    </row>
    <row r="19" spans="2:8" ht="20.100000000000001" customHeight="1">
      <c r="B19" s="7" t="s">
        <v>208</v>
      </c>
      <c r="C19" s="377">
        <v>6407</v>
      </c>
      <c r="D19" s="536">
        <v>5880</v>
      </c>
      <c r="E19" s="536">
        <v>6272</v>
      </c>
      <c r="F19" s="536">
        <v>9438</v>
      </c>
      <c r="G19" s="536">
        <v>9642</v>
      </c>
    </row>
    <row r="20" spans="2:8" ht="20.100000000000001" customHeight="1">
      <c r="B20" s="433" t="s">
        <v>114</v>
      </c>
      <c r="C20" s="535">
        <v>0.2616</v>
      </c>
      <c r="D20" s="534">
        <v>0.26519999999999999</v>
      </c>
      <c r="E20" s="534">
        <v>0.25369999999999998</v>
      </c>
      <c r="F20" s="534">
        <v>0.13300000000000001</v>
      </c>
      <c r="G20" s="534">
        <v>0.161</v>
      </c>
    </row>
    <row r="21" spans="2:8" ht="20.100000000000001" customHeight="1">
      <c r="B21" s="15" t="s">
        <v>35</v>
      </c>
      <c r="C21" s="190"/>
      <c r="D21" s="375"/>
      <c r="E21" s="375"/>
      <c r="F21" s="375"/>
      <c r="G21" s="375"/>
    </row>
    <row r="22" spans="2:8" ht="20.100000000000001" customHeight="1">
      <c r="B22" s="341" t="s">
        <v>113</v>
      </c>
      <c r="C22" s="376">
        <f t="shared" ref="C22:E23" si="0">+C25-C6-C14-C18-C10</f>
        <v>22</v>
      </c>
      <c r="D22" s="136">
        <f t="shared" si="0"/>
        <v>-136</v>
      </c>
      <c r="E22" s="136">
        <f t="shared" si="0"/>
        <v>73</v>
      </c>
      <c r="F22" s="136">
        <v>-717</v>
      </c>
      <c r="G22" s="136">
        <v>-631</v>
      </c>
    </row>
    <row r="23" spans="2:8" ht="20.100000000000001" customHeight="1">
      <c r="B23" s="341" t="s">
        <v>209</v>
      </c>
      <c r="C23" s="376">
        <f t="shared" si="0"/>
        <v>-2767</v>
      </c>
      <c r="D23" s="136">
        <f t="shared" si="0"/>
        <v>-2995</v>
      </c>
      <c r="E23" s="136">
        <f t="shared" si="0"/>
        <v>-2826</v>
      </c>
      <c r="F23" s="136">
        <v>-2564</v>
      </c>
      <c r="G23" s="136">
        <v>-3038</v>
      </c>
    </row>
    <row r="24" spans="2:8" ht="20.100000000000001" customHeight="1">
      <c r="B24" s="15" t="s">
        <v>115</v>
      </c>
      <c r="C24" s="190"/>
      <c r="D24" s="351"/>
      <c r="E24" s="351"/>
      <c r="F24" s="351"/>
      <c r="G24" s="351"/>
    </row>
    <row r="25" spans="2:8" ht="20.100000000000001" customHeight="1">
      <c r="B25" s="341" t="s">
        <v>113</v>
      </c>
      <c r="C25" s="376">
        <v>11958</v>
      </c>
      <c r="D25" s="351">
        <v>9274</v>
      </c>
      <c r="E25" s="351">
        <v>11400</v>
      </c>
      <c r="F25" s="351">
        <v>13530</v>
      </c>
      <c r="G25" s="351">
        <v>15230</v>
      </c>
    </row>
    <row r="26" spans="2:8" ht="20.100000000000001" customHeight="1">
      <c r="B26" s="7" t="s">
        <v>209</v>
      </c>
      <c r="C26" s="174">
        <v>127575</v>
      </c>
      <c r="D26" s="126">
        <v>124283</v>
      </c>
      <c r="E26" s="126">
        <v>120835</v>
      </c>
      <c r="F26" s="126">
        <v>121488.5</v>
      </c>
      <c r="G26" s="126">
        <v>116765.5</v>
      </c>
    </row>
    <row r="27" spans="2:8" ht="20.100000000000001" customHeight="1">
      <c r="B27" s="20" t="s">
        <v>114</v>
      </c>
      <c r="C27" s="361">
        <v>9.3700000000000006E-2</v>
      </c>
      <c r="D27" s="361">
        <v>7.46E-2</v>
      </c>
      <c r="E27" s="361">
        <v>9.4E-2</v>
      </c>
      <c r="F27" s="361">
        <v>0.111</v>
      </c>
      <c r="G27" s="361">
        <v>0.13</v>
      </c>
    </row>
    <row r="29" spans="2:8" s="450" customFormat="1" ht="26.25" customHeight="1">
      <c r="B29" s="1158" t="s">
        <v>230</v>
      </c>
      <c r="C29" s="1158"/>
      <c r="D29" s="1161"/>
      <c r="E29" s="1161"/>
      <c r="F29" s="1161"/>
      <c r="G29" s="1161"/>
      <c r="H29" s="1161"/>
    </row>
  </sheetData>
  <mergeCells count="2">
    <mergeCell ref="B2:F2"/>
    <mergeCell ref="B29:H29"/>
  </mergeCells>
  <pageMargins left="0.75000000000000011" right="0.75000000000000011" top="1" bottom="1" header="0.5" footer="0.5"/>
  <pageSetup paperSize="9" scale="78"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25">
    <tabColor rgb="FF0076BD"/>
    <pageSetUpPr fitToPage="1"/>
  </sheetPr>
  <dimension ref="B2:J49"/>
  <sheetViews>
    <sheetView showGridLines="0" view="pageBreakPreview" zoomScaleNormal="120" zoomScaleSheetLayoutView="100" zoomScalePageLayoutView="120" workbookViewId="0">
      <selection activeCell="H17" sqref="H17"/>
    </sheetView>
  </sheetViews>
  <sheetFormatPr defaultColWidth="11" defaultRowHeight="20.100000000000001" customHeight="1"/>
  <cols>
    <col min="1" max="1" width="5.5" style="451" customWidth="1"/>
    <col min="2" max="2" width="59" style="451" customWidth="1"/>
    <col min="3" max="10" width="10.5" style="451" customWidth="1"/>
    <col min="11" max="12" width="11" style="451"/>
    <col min="13" max="13" width="10.375" style="451" customWidth="1"/>
    <col min="14" max="14" width="0" style="451" hidden="1" customWidth="1"/>
    <col min="15" max="16384" width="11" style="451"/>
  </cols>
  <sheetData>
    <row r="2" spans="2:10" ht="20.100000000000001" customHeight="1">
      <c r="B2" s="1156" t="str">
        <f>UPPER("Consolidated statement of cash flow")</f>
        <v>CONSOLIDATED STATEMENT OF CASH FLOW</v>
      </c>
      <c r="C2" s="1156"/>
      <c r="D2" s="1156"/>
      <c r="E2" s="1156"/>
      <c r="F2" s="1156"/>
      <c r="G2" s="1156"/>
      <c r="H2" s="1156"/>
      <c r="I2" s="1156"/>
      <c r="J2" s="1156"/>
    </row>
    <row r="3" spans="2:10" ht="20.100000000000001" customHeight="1">
      <c r="B3" s="449"/>
      <c r="C3" s="449"/>
      <c r="D3" s="449"/>
    </row>
    <row r="4" spans="2:10" ht="20.100000000000001" customHeight="1">
      <c r="B4" s="3"/>
      <c r="C4" s="3"/>
      <c r="D4" s="1159"/>
      <c r="E4" s="1159"/>
      <c r="F4" s="1159"/>
      <c r="G4" s="1159"/>
      <c r="H4" s="1159"/>
      <c r="I4" s="1159"/>
      <c r="J4" s="1159"/>
    </row>
    <row r="5" spans="2:10" ht="20.100000000000001" customHeight="1">
      <c r="B5" s="22" t="s">
        <v>13</v>
      </c>
      <c r="C5" s="368">
        <v>2017</v>
      </c>
      <c r="D5" s="368">
        <v>2016</v>
      </c>
      <c r="E5" s="333">
        <v>2015</v>
      </c>
      <c r="F5" s="333">
        <v>2014</v>
      </c>
      <c r="G5" s="333">
        <v>2013</v>
      </c>
    </row>
    <row r="6" spans="2:10" ht="20.100000000000001" customHeight="1">
      <c r="B6" s="15" t="s">
        <v>3</v>
      </c>
      <c r="C6" s="198"/>
      <c r="D6" s="136"/>
      <c r="E6" s="136"/>
      <c r="F6" s="136"/>
      <c r="G6" s="358"/>
    </row>
    <row r="7" spans="2:10" ht="20.100000000000001" customHeight="1">
      <c r="B7" s="363" t="s">
        <v>32</v>
      </c>
      <c r="C7" s="376">
        <v>8299</v>
      </c>
      <c r="D7" s="136">
        <v>6206</v>
      </c>
      <c r="E7" s="136">
        <v>4786</v>
      </c>
      <c r="F7" s="136">
        <v>4250</v>
      </c>
      <c r="G7" s="358">
        <v>11521</v>
      </c>
    </row>
    <row r="8" spans="2:10" ht="20.100000000000001" customHeight="1">
      <c r="B8" s="363" t="s">
        <v>248</v>
      </c>
      <c r="C8" s="376">
        <v>16611</v>
      </c>
      <c r="D8" s="136">
        <v>14423</v>
      </c>
      <c r="E8" s="136">
        <v>19334</v>
      </c>
      <c r="F8" s="136">
        <v>20859</v>
      </c>
      <c r="G8" s="358">
        <v>13358</v>
      </c>
    </row>
    <row r="9" spans="2:10" ht="20.100000000000001" customHeight="1">
      <c r="B9" s="363" t="s">
        <v>116</v>
      </c>
      <c r="C9" s="376">
        <v>-384</v>
      </c>
      <c r="D9" s="136">
        <v>-1559</v>
      </c>
      <c r="E9" s="136">
        <v>-2563</v>
      </c>
      <c r="F9" s="136">
        <v>-1980</v>
      </c>
      <c r="G9" s="358">
        <v>1567</v>
      </c>
    </row>
    <row r="10" spans="2:10" ht="20.100000000000001" customHeight="1">
      <c r="B10" s="363" t="s">
        <v>117</v>
      </c>
      <c r="C10" s="376">
        <v>-2598</v>
      </c>
      <c r="D10" s="136">
        <v>-263</v>
      </c>
      <c r="E10" s="136">
        <v>-2459</v>
      </c>
      <c r="F10" s="136">
        <v>-1979</v>
      </c>
      <c r="G10" s="358">
        <v>-80</v>
      </c>
    </row>
    <row r="11" spans="2:10" ht="20.100000000000001" customHeight="1">
      <c r="B11" s="363" t="s">
        <v>155</v>
      </c>
      <c r="C11" s="376">
        <v>42</v>
      </c>
      <c r="D11" s="136">
        <v>-643</v>
      </c>
      <c r="E11" s="136">
        <v>-311</v>
      </c>
      <c r="F11" s="136">
        <v>29</v>
      </c>
      <c r="G11" s="358">
        <v>-775</v>
      </c>
    </row>
    <row r="12" spans="2:10" ht="20.100000000000001" customHeight="1">
      <c r="B12" s="363" t="s">
        <v>118</v>
      </c>
      <c r="C12" s="376">
        <v>826.99999999999989</v>
      </c>
      <c r="D12" s="136">
        <v>-1119</v>
      </c>
      <c r="E12" s="136">
        <v>1683</v>
      </c>
      <c r="F12" s="136">
        <v>4480</v>
      </c>
      <c r="G12" s="358">
        <v>2525</v>
      </c>
    </row>
    <row r="13" spans="2:10" ht="20.100000000000001" customHeight="1">
      <c r="B13" s="365" t="s">
        <v>119</v>
      </c>
      <c r="C13" s="377">
        <v>-478</v>
      </c>
      <c r="D13" s="137">
        <v>-524</v>
      </c>
      <c r="E13" s="137">
        <v>-524</v>
      </c>
      <c r="F13" s="137">
        <v>-51</v>
      </c>
      <c r="G13" s="359">
        <v>397</v>
      </c>
    </row>
    <row r="14" spans="2:10" ht="20.100000000000001" customHeight="1">
      <c r="B14" s="61" t="s">
        <v>3</v>
      </c>
      <c r="C14" s="203">
        <v>22319</v>
      </c>
      <c r="D14" s="232">
        <v>16521</v>
      </c>
      <c r="E14" s="232">
        <v>19946</v>
      </c>
      <c r="F14" s="232">
        <v>25608</v>
      </c>
      <c r="G14" s="233">
        <v>28513</v>
      </c>
    </row>
    <row r="15" spans="2:10" ht="20.100000000000001" customHeight="1">
      <c r="B15" s="15" t="s">
        <v>130</v>
      </c>
      <c r="C15" s="190"/>
      <c r="D15" s="136"/>
      <c r="E15" s="136"/>
      <c r="F15" s="136"/>
      <c r="G15" s="358"/>
    </row>
    <row r="16" spans="2:10" ht="20.100000000000001" customHeight="1">
      <c r="B16" s="363" t="s">
        <v>120</v>
      </c>
      <c r="C16" s="376">
        <v>-13767</v>
      </c>
      <c r="D16" s="136">
        <v>-18106</v>
      </c>
      <c r="E16" s="136">
        <v>-25132</v>
      </c>
      <c r="F16" s="136">
        <v>-26320</v>
      </c>
      <c r="G16" s="358">
        <v>-29748</v>
      </c>
    </row>
    <row r="17" spans="2:7" ht="20.100000000000001" customHeight="1">
      <c r="B17" s="363" t="s">
        <v>121</v>
      </c>
      <c r="C17" s="376">
        <v>-800</v>
      </c>
      <c r="D17" s="136">
        <v>-1123</v>
      </c>
      <c r="E17" s="136">
        <v>-128</v>
      </c>
      <c r="F17" s="136">
        <v>-471</v>
      </c>
      <c r="G17" s="358">
        <v>-21</v>
      </c>
    </row>
    <row r="18" spans="2:7" ht="20.100000000000001" customHeight="1">
      <c r="B18" s="363" t="s">
        <v>122</v>
      </c>
      <c r="C18" s="376">
        <v>-1368</v>
      </c>
      <c r="D18" s="136">
        <v>-180</v>
      </c>
      <c r="E18" s="136">
        <v>-513</v>
      </c>
      <c r="F18" s="136">
        <v>-949</v>
      </c>
      <c r="G18" s="358">
        <v>-1756</v>
      </c>
    </row>
    <row r="19" spans="2:7" ht="20.100000000000001" customHeight="1">
      <c r="B19" s="365" t="s">
        <v>123</v>
      </c>
      <c r="C19" s="377">
        <v>-961</v>
      </c>
      <c r="D19" s="137">
        <v>-1121</v>
      </c>
      <c r="E19" s="137">
        <v>-2260</v>
      </c>
      <c r="F19" s="137">
        <v>-2769</v>
      </c>
      <c r="G19" s="359">
        <v>-2906</v>
      </c>
    </row>
    <row r="20" spans="2:7" ht="20.100000000000001" customHeight="1">
      <c r="B20" s="523" t="s">
        <v>124</v>
      </c>
      <c r="C20" s="432">
        <v>-16896</v>
      </c>
      <c r="D20" s="538">
        <v>-20530</v>
      </c>
      <c r="E20" s="538">
        <v>-28033</v>
      </c>
      <c r="F20" s="538">
        <v>-30509</v>
      </c>
      <c r="G20" s="432">
        <v>-34431</v>
      </c>
    </row>
    <row r="21" spans="2:7" ht="20.100000000000001" customHeight="1">
      <c r="B21" s="363" t="s">
        <v>125</v>
      </c>
      <c r="C21" s="376">
        <v>1036</v>
      </c>
      <c r="D21" s="136">
        <v>1462</v>
      </c>
      <c r="E21" s="136">
        <v>2623</v>
      </c>
      <c r="F21" s="136">
        <v>3442</v>
      </c>
      <c r="G21" s="358">
        <v>1766</v>
      </c>
    </row>
    <row r="22" spans="2:7" ht="20.100000000000001" customHeight="1">
      <c r="B22" s="363" t="s">
        <v>126</v>
      </c>
      <c r="C22" s="376">
        <v>2909</v>
      </c>
      <c r="D22" s="136">
        <v>270</v>
      </c>
      <c r="E22" s="136">
        <v>2508</v>
      </c>
      <c r="F22" s="136">
        <v>136</v>
      </c>
      <c r="G22" s="358">
        <v>2654</v>
      </c>
    </row>
    <row r="23" spans="2:7" ht="20.100000000000001" customHeight="1">
      <c r="B23" s="363" t="s">
        <v>127</v>
      </c>
      <c r="C23" s="376">
        <v>294</v>
      </c>
      <c r="D23" s="136">
        <v>132</v>
      </c>
      <c r="E23" s="136">
        <v>837</v>
      </c>
      <c r="F23" s="136">
        <v>1072</v>
      </c>
      <c r="G23" s="358">
        <v>330</v>
      </c>
    </row>
    <row r="24" spans="2:7" ht="20.100000000000001" customHeight="1">
      <c r="B24" s="365" t="s">
        <v>128</v>
      </c>
      <c r="C24" s="377">
        <v>1025</v>
      </c>
      <c r="D24" s="137">
        <v>1013</v>
      </c>
      <c r="E24" s="137">
        <v>1616</v>
      </c>
      <c r="F24" s="137">
        <v>1540</v>
      </c>
      <c r="G24" s="359">
        <v>1649</v>
      </c>
    </row>
    <row r="25" spans="2:7" s="364" customFormat="1" ht="20.100000000000001" customHeight="1">
      <c r="B25" s="533" t="s">
        <v>129</v>
      </c>
      <c r="C25" s="438">
        <v>5264</v>
      </c>
      <c r="D25" s="438">
        <v>2877</v>
      </c>
      <c r="E25" s="438">
        <v>7584</v>
      </c>
      <c r="F25" s="438">
        <v>6190</v>
      </c>
      <c r="G25" s="438">
        <v>6399</v>
      </c>
    </row>
    <row r="26" spans="2:7" ht="20.100000000000001" customHeight="1">
      <c r="B26" s="45" t="s">
        <v>130</v>
      </c>
      <c r="C26" s="201">
        <v>-11632</v>
      </c>
      <c r="D26" s="201">
        <v>-17653</v>
      </c>
      <c r="E26" s="201">
        <v>-20449</v>
      </c>
      <c r="F26" s="201">
        <v>-24319</v>
      </c>
      <c r="G26" s="201">
        <v>-28032</v>
      </c>
    </row>
    <row r="27" spans="2:7" ht="20.100000000000001" customHeight="1">
      <c r="B27" s="15" t="s">
        <v>169</v>
      </c>
      <c r="C27" s="190"/>
      <c r="D27" s="136"/>
      <c r="E27" s="136"/>
      <c r="F27" s="136"/>
      <c r="G27" s="358"/>
    </row>
    <row r="28" spans="2:7" ht="20.100000000000001" customHeight="1">
      <c r="B28" s="363" t="s">
        <v>231</v>
      </c>
      <c r="C28" s="376"/>
      <c r="D28" s="136"/>
      <c r="E28" s="136"/>
      <c r="F28" s="136"/>
      <c r="G28" s="358"/>
    </row>
    <row r="29" spans="2:7" ht="20.100000000000001" customHeight="1">
      <c r="B29" s="363" t="s">
        <v>210</v>
      </c>
      <c r="C29" s="376">
        <v>519</v>
      </c>
      <c r="D29" s="136">
        <v>100</v>
      </c>
      <c r="E29" s="136">
        <v>485</v>
      </c>
      <c r="F29" s="136">
        <v>420</v>
      </c>
      <c r="G29" s="358">
        <v>485</v>
      </c>
    </row>
    <row r="30" spans="2:7" ht="20.100000000000001" customHeight="1">
      <c r="B30" s="363" t="s">
        <v>211</v>
      </c>
      <c r="C30" s="376" t="s">
        <v>14</v>
      </c>
      <c r="D30" s="136" t="s">
        <v>14</v>
      </c>
      <c r="E30" s="136">
        <v>-237</v>
      </c>
      <c r="F30" s="136">
        <v>-289</v>
      </c>
      <c r="G30" s="358">
        <v>-238</v>
      </c>
    </row>
    <row r="31" spans="2:7" ht="20.100000000000001" customHeight="1">
      <c r="B31" s="363" t="s">
        <v>156</v>
      </c>
      <c r="C31" s="376"/>
      <c r="D31" s="136"/>
      <c r="E31" s="136"/>
      <c r="F31" s="136"/>
      <c r="G31" s="358"/>
    </row>
    <row r="32" spans="2:7" ht="20.100000000000001" customHeight="1">
      <c r="B32" s="363" t="s">
        <v>212</v>
      </c>
      <c r="C32" s="376">
        <v>-2643</v>
      </c>
      <c r="D32" s="136">
        <v>-2661</v>
      </c>
      <c r="E32" s="136">
        <v>-2845</v>
      </c>
      <c r="F32" s="136">
        <v>-7308</v>
      </c>
      <c r="G32" s="358">
        <v>-7128</v>
      </c>
    </row>
    <row r="33" spans="2:7" ht="20.100000000000001" customHeight="1">
      <c r="B33" s="363" t="s">
        <v>213</v>
      </c>
      <c r="C33" s="376">
        <v>-141</v>
      </c>
      <c r="D33" s="136">
        <v>-93</v>
      </c>
      <c r="E33" s="136">
        <v>-100</v>
      </c>
      <c r="F33" s="136">
        <v>-154</v>
      </c>
      <c r="G33" s="358">
        <v>-156</v>
      </c>
    </row>
    <row r="34" spans="2:7" ht="20.100000000000001" customHeight="1">
      <c r="B34" s="363" t="s">
        <v>204</v>
      </c>
      <c r="C34" s="376" t="s">
        <v>14</v>
      </c>
      <c r="D34" s="136">
        <v>4711</v>
      </c>
      <c r="E34" s="136">
        <v>5616</v>
      </c>
      <c r="F34" s="136" t="s">
        <v>14</v>
      </c>
      <c r="G34" s="358" t="s">
        <v>14</v>
      </c>
    </row>
    <row r="35" spans="2:7" s="303" customFormat="1" ht="20.100000000000001" customHeight="1">
      <c r="B35" s="363" t="s">
        <v>205</v>
      </c>
      <c r="C35" s="376">
        <v>-276</v>
      </c>
      <c r="D35" s="136">
        <v>-133</v>
      </c>
      <c r="E35" s="136" t="s">
        <v>14</v>
      </c>
      <c r="F35" s="136" t="s">
        <v>14</v>
      </c>
      <c r="G35" s="358" t="s">
        <v>14</v>
      </c>
    </row>
    <row r="36" spans="2:7" ht="20.100000000000001" customHeight="1">
      <c r="B36" s="363" t="s">
        <v>353</v>
      </c>
      <c r="C36" s="376">
        <v>-4</v>
      </c>
      <c r="D36" s="136">
        <v>-104</v>
      </c>
      <c r="E36" s="136">
        <v>89</v>
      </c>
      <c r="F36" s="136">
        <v>179</v>
      </c>
      <c r="G36" s="358">
        <v>2153</v>
      </c>
    </row>
    <row r="37" spans="2:7" ht="20.100000000000001" customHeight="1">
      <c r="B37" s="363" t="s">
        <v>131</v>
      </c>
      <c r="C37" s="376">
        <v>2277</v>
      </c>
      <c r="D37" s="136">
        <v>3576</v>
      </c>
      <c r="E37" s="136">
        <v>4166</v>
      </c>
      <c r="F37" s="136">
        <v>15786</v>
      </c>
      <c r="G37" s="358">
        <v>11102</v>
      </c>
    </row>
    <row r="38" spans="2:7" ht="20.100000000000001" customHeight="1">
      <c r="B38" s="365" t="s">
        <v>157</v>
      </c>
      <c r="C38" s="377">
        <v>-7175</v>
      </c>
      <c r="D38" s="137">
        <v>-3260</v>
      </c>
      <c r="E38" s="137">
        <v>-597</v>
      </c>
      <c r="F38" s="137">
        <v>-2374</v>
      </c>
      <c r="G38" s="359">
        <v>-9037</v>
      </c>
    </row>
    <row r="39" spans="2:7" ht="20.100000000000001" customHeight="1">
      <c r="B39" s="365" t="s">
        <v>158</v>
      </c>
      <c r="C39" s="377">
        <v>1903</v>
      </c>
      <c r="D39" s="137">
        <v>1396</v>
      </c>
      <c r="E39" s="137">
        <v>-5517</v>
      </c>
      <c r="F39" s="137">
        <v>-351</v>
      </c>
      <c r="G39" s="359">
        <v>1298</v>
      </c>
    </row>
    <row r="40" spans="2:7" ht="20.100000000000001" customHeight="1">
      <c r="B40" s="533" t="s">
        <v>170</v>
      </c>
      <c r="C40" s="438">
        <v>-5540</v>
      </c>
      <c r="D40" s="438">
        <v>3532</v>
      </c>
      <c r="E40" s="438">
        <v>1060</v>
      </c>
      <c r="F40" s="438">
        <v>5909</v>
      </c>
      <c r="G40" s="438">
        <v>-1521</v>
      </c>
    </row>
    <row r="41" spans="2:7" ht="20.100000000000001" customHeight="1">
      <c r="B41" s="533" t="s">
        <v>132</v>
      </c>
      <c r="C41" s="438">
        <v>5147</v>
      </c>
      <c r="D41" s="438">
        <v>2400</v>
      </c>
      <c r="E41" s="438">
        <v>557</v>
      </c>
      <c r="F41" s="438">
        <v>7198</v>
      </c>
      <c r="G41" s="438">
        <v>-1040</v>
      </c>
    </row>
    <row r="42" spans="2:7" ht="20.100000000000001" customHeight="1">
      <c r="B42" s="365" t="s">
        <v>133</v>
      </c>
      <c r="C42" s="377">
        <v>3440.9999999999995</v>
      </c>
      <c r="D42" s="137">
        <v>-1072</v>
      </c>
      <c r="E42" s="137">
        <v>-2469</v>
      </c>
      <c r="F42" s="137">
        <v>-2217</v>
      </c>
      <c r="G42" s="359">
        <v>831</v>
      </c>
    </row>
    <row r="43" spans="2:7" ht="20.100000000000001" customHeight="1">
      <c r="B43" s="365" t="s">
        <v>134</v>
      </c>
      <c r="C43" s="377">
        <v>24597</v>
      </c>
      <c r="D43" s="137">
        <v>23269</v>
      </c>
      <c r="E43" s="137">
        <v>25181</v>
      </c>
      <c r="F43" s="137">
        <v>20200</v>
      </c>
      <c r="G43" s="359">
        <v>20409</v>
      </c>
    </row>
    <row r="44" spans="2:7" ht="20.100000000000001" customHeight="1">
      <c r="B44" s="20" t="s">
        <v>135</v>
      </c>
      <c r="C44" s="347">
        <v>33185</v>
      </c>
      <c r="D44" s="234">
        <v>24597</v>
      </c>
      <c r="E44" s="234">
        <v>23269</v>
      </c>
      <c r="F44" s="234">
        <v>25181</v>
      </c>
      <c r="G44" s="347">
        <v>20200</v>
      </c>
    </row>
    <row r="48" spans="2:7" ht="14.1" customHeight="1">
      <c r="B48" s="450"/>
      <c r="C48" s="450"/>
      <c r="D48" s="450"/>
    </row>
    <row r="49" ht="46.5" customHeight="1"/>
  </sheetData>
  <mergeCells count="2">
    <mergeCell ref="B2:J2"/>
    <mergeCell ref="D4:J4"/>
  </mergeCells>
  <pageMargins left="0.74803149606299213" right="0.74803149606299213" top="0.98425196850393704" bottom="0.98425196850393704" header="0.51181102362204722" footer="0.51181102362204722"/>
  <pageSetup paperSize="9" scale="67"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26">
    <tabColor rgb="FF0076BD"/>
    <pageSetUpPr fitToPage="1"/>
  </sheetPr>
  <dimension ref="B2:N15"/>
  <sheetViews>
    <sheetView showGridLines="0" view="pageBreakPreview" zoomScaleNormal="150" zoomScaleSheetLayoutView="100" zoomScalePageLayoutView="150" workbookViewId="0">
      <selection activeCell="H17" sqref="H17"/>
    </sheetView>
  </sheetViews>
  <sheetFormatPr defaultColWidth="11" defaultRowHeight="20.100000000000001" customHeight="1"/>
  <cols>
    <col min="1" max="1" width="5.5" style="451" customWidth="1"/>
    <col min="2" max="2" width="26.125" style="451" customWidth="1"/>
    <col min="3" max="12" width="10.5" style="451" customWidth="1"/>
    <col min="13" max="13" width="10.375" style="451" customWidth="1"/>
    <col min="14" max="14" width="10.5" style="451" hidden="1" customWidth="1"/>
    <col min="15" max="16384" width="11" style="451"/>
  </cols>
  <sheetData>
    <row r="2" spans="2:9" ht="20.100000000000001" customHeight="1">
      <c r="B2" s="1156" t="str">
        <f>UPPER("Cash flow from operating activities")</f>
        <v>CASH FLOW FROM OPERATING ACTIVITIES</v>
      </c>
      <c r="C2" s="1156"/>
      <c r="D2" s="1156"/>
      <c r="E2" s="1156"/>
      <c r="F2" s="1156"/>
      <c r="G2" s="1156"/>
    </row>
    <row r="3" spans="2:9" ht="20.100000000000001" customHeight="1">
      <c r="B3" s="449"/>
      <c r="C3" s="449"/>
      <c r="D3" s="449"/>
    </row>
    <row r="4" spans="2:9" ht="20.100000000000001" customHeight="1">
      <c r="B4" s="62" t="s">
        <v>13</v>
      </c>
      <c r="C4" s="162">
        <v>2017</v>
      </c>
      <c r="D4" s="162">
        <v>2016</v>
      </c>
      <c r="E4" s="59">
        <v>2015</v>
      </c>
      <c r="F4" s="59">
        <v>2014</v>
      </c>
      <c r="G4" s="59">
        <v>2013</v>
      </c>
    </row>
    <row r="5" spans="2:9" ht="20.100000000000001" customHeight="1">
      <c r="B5" s="15" t="s">
        <v>136</v>
      </c>
      <c r="C5" s="175"/>
      <c r="D5" s="177"/>
      <c r="E5" s="177"/>
      <c r="F5" s="177"/>
      <c r="G5" s="177"/>
    </row>
    <row r="6" spans="2:9" ht="20.100000000000001" customHeight="1">
      <c r="B6" s="509" t="s">
        <v>318</v>
      </c>
      <c r="C6" s="376">
        <v>11459</v>
      </c>
      <c r="D6" s="351">
        <v>9010</v>
      </c>
      <c r="E6" s="351">
        <v>11567</v>
      </c>
      <c r="F6" s="351">
        <v>16666</v>
      </c>
      <c r="G6" s="351">
        <v>21857</v>
      </c>
      <c r="I6" s="303"/>
    </row>
    <row r="7" spans="2:9" ht="20.100000000000001" customHeight="1">
      <c r="B7" s="509" t="s">
        <v>317</v>
      </c>
      <c r="C7" s="376">
        <v>993</v>
      </c>
      <c r="D7" s="351">
        <v>538</v>
      </c>
      <c r="E7" s="351">
        <v>-384</v>
      </c>
      <c r="F7" s="351"/>
      <c r="G7" s="351"/>
      <c r="I7" s="303"/>
    </row>
    <row r="8" spans="2:9" ht="20.100000000000001" customHeight="1">
      <c r="B8" s="363" t="s">
        <v>146</v>
      </c>
      <c r="C8" s="376">
        <v>7440</v>
      </c>
      <c r="D8" s="351">
        <v>4585</v>
      </c>
      <c r="E8" s="351">
        <v>6435</v>
      </c>
      <c r="F8" s="351">
        <v>6302</v>
      </c>
      <c r="G8" s="351">
        <v>4260</v>
      </c>
    </row>
    <row r="9" spans="2:9" ht="20.100000000000001" customHeight="1">
      <c r="B9" s="363" t="s">
        <v>147</v>
      </c>
      <c r="C9" s="376">
        <v>2130</v>
      </c>
      <c r="D9" s="351">
        <v>1754</v>
      </c>
      <c r="E9" s="351">
        <v>2323</v>
      </c>
      <c r="F9" s="351">
        <v>2721</v>
      </c>
      <c r="G9" s="351">
        <v>2557</v>
      </c>
    </row>
    <row r="10" spans="2:9" ht="20.100000000000001" customHeight="1">
      <c r="B10" s="365" t="s">
        <v>35</v>
      </c>
      <c r="C10" s="377">
        <v>297</v>
      </c>
      <c r="D10" s="126">
        <v>634</v>
      </c>
      <c r="E10" s="126">
        <v>5</v>
      </c>
      <c r="F10" s="126">
        <v>-81</v>
      </c>
      <c r="G10" s="126">
        <v>-161</v>
      </c>
      <c r="I10" s="42"/>
    </row>
    <row r="11" spans="2:9" ht="20.100000000000001" customHeight="1">
      <c r="B11" s="20" t="s">
        <v>36</v>
      </c>
      <c r="C11" s="191">
        <v>22319</v>
      </c>
      <c r="D11" s="347">
        <v>16521</v>
      </c>
      <c r="E11" s="347">
        <v>19946</v>
      </c>
      <c r="F11" s="347">
        <v>25608</v>
      </c>
      <c r="G11" s="347">
        <v>28513</v>
      </c>
      <c r="I11" s="42"/>
    </row>
    <row r="12" spans="2:9" ht="20.100000000000001" customHeight="1">
      <c r="G12" s="55"/>
      <c r="H12" s="55"/>
      <c r="I12" s="42"/>
    </row>
    <row r="13" spans="2:9" ht="20.100000000000001" customHeight="1">
      <c r="I13" s="42"/>
    </row>
    <row r="14" spans="2:9" ht="14.1" customHeight="1">
      <c r="B14" s="1161"/>
      <c r="C14" s="1161"/>
      <c r="D14" s="1161"/>
      <c r="E14" s="1161"/>
      <c r="F14" s="1161"/>
      <c r="G14" s="1161"/>
      <c r="I14" s="42"/>
    </row>
    <row r="15" spans="2:9" ht="20.100000000000001" customHeight="1">
      <c r="B15" s="1161"/>
      <c r="C15" s="1161"/>
      <c r="D15" s="1161"/>
      <c r="E15" s="1161"/>
      <c r="F15" s="1161"/>
      <c r="G15" s="1161"/>
      <c r="I15" s="42"/>
    </row>
  </sheetData>
  <mergeCells count="3">
    <mergeCell ref="B15:G15"/>
    <mergeCell ref="B2:G2"/>
    <mergeCell ref="B14:G14"/>
  </mergeCells>
  <pageMargins left="0.75" right="0.75" top="1" bottom="1" header="0.5" footer="0.5"/>
  <pageSetup paperSize="9" scale="94"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27">
    <tabColor rgb="FF0076BD"/>
    <pageSetUpPr fitToPage="1"/>
  </sheetPr>
  <dimension ref="B2:M24"/>
  <sheetViews>
    <sheetView showGridLines="0" view="pageBreakPreview" zoomScaleNormal="115" zoomScaleSheetLayoutView="100" zoomScalePageLayoutView="115" workbookViewId="0">
      <selection activeCell="H17" sqref="H17"/>
    </sheetView>
  </sheetViews>
  <sheetFormatPr defaultColWidth="11" defaultRowHeight="20.100000000000001" customHeight="1"/>
  <cols>
    <col min="1" max="1" width="5.5" style="451" customWidth="1"/>
    <col min="2" max="2" width="26.125" style="451" customWidth="1"/>
    <col min="3" max="11" width="10.5" style="451" customWidth="1"/>
    <col min="12" max="12" width="10.375" style="451" customWidth="1"/>
    <col min="13" max="13" width="10.5" style="451" hidden="1" customWidth="1"/>
    <col min="14" max="16384" width="11" style="451"/>
  </cols>
  <sheetData>
    <row r="2" spans="2:9" ht="20.100000000000001" customHeight="1">
      <c r="B2" s="1156" t="s">
        <v>214</v>
      </c>
      <c r="C2" s="1156"/>
      <c r="D2" s="1156"/>
      <c r="E2" s="1156"/>
      <c r="F2" s="1156"/>
      <c r="G2" s="1156"/>
    </row>
    <row r="3" spans="2:9" ht="20.100000000000001" customHeight="1">
      <c r="B3" s="449"/>
      <c r="C3" s="449"/>
      <c r="D3" s="449"/>
    </row>
    <row r="4" spans="2:9" ht="20.100000000000001" customHeight="1">
      <c r="B4" s="163" t="s">
        <v>13</v>
      </c>
      <c r="C4" s="362">
        <v>2017</v>
      </c>
      <c r="D4" s="362">
        <v>2016</v>
      </c>
      <c r="E4" s="362">
        <v>2015</v>
      </c>
      <c r="F4" s="362">
        <v>2014</v>
      </c>
      <c r="G4" s="362">
        <v>2013</v>
      </c>
    </row>
    <row r="5" spans="2:9" ht="20.100000000000001" customHeight="1">
      <c r="B5" s="15" t="s">
        <v>136</v>
      </c>
      <c r="C5" s="195"/>
      <c r="D5" s="341"/>
      <c r="E5" s="204"/>
      <c r="F5" s="204"/>
      <c r="G5" s="204"/>
    </row>
    <row r="6" spans="2:9" ht="20.100000000000001" customHeight="1">
      <c r="B6" s="509" t="s">
        <v>318</v>
      </c>
      <c r="C6" s="186">
        <v>12802</v>
      </c>
      <c r="D6" s="539">
        <v>16085</v>
      </c>
      <c r="E6" s="122">
        <v>24233</v>
      </c>
      <c r="F6" s="539">
        <v>26520</v>
      </c>
      <c r="G6" s="122">
        <v>29750</v>
      </c>
      <c r="I6" s="303"/>
    </row>
    <row r="7" spans="2:9" ht="20.100000000000001" customHeight="1">
      <c r="B7" s="509" t="s">
        <v>317</v>
      </c>
      <c r="C7" s="376">
        <v>797</v>
      </c>
      <c r="D7" s="351">
        <v>1221</v>
      </c>
      <c r="E7" s="351">
        <v>588</v>
      </c>
      <c r="F7" s="351"/>
      <c r="G7" s="351"/>
    </row>
    <row r="8" spans="2:9" ht="20.100000000000001" customHeight="1">
      <c r="B8" s="363" t="s">
        <v>146</v>
      </c>
      <c r="C8" s="186">
        <v>1734</v>
      </c>
      <c r="D8" s="539">
        <v>1861</v>
      </c>
      <c r="E8" s="122">
        <v>1875</v>
      </c>
      <c r="F8" s="539">
        <v>2022</v>
      </c>
      <c r="G8" s="122">
        <v>2708</v>
      </c>
    </row>
    <row r="9" spans="2:9" ht="20.100000000000001" customHeight="1">
      <c r="B9" s="363" t="s">
        <v>147</v>
      </c>
      <c r="C9" s="186">
        <v>1457</v>
      </c>
      <c r="D9" s="539">
        <v>1245</v>
      </c>
      <c r="E9" s="122">
        <v>1267</v>
      </c>
      <c r="F9" s="539">
        <v>1818</v>
      </c>
      <c r="G9" s="122">
        <v>1814</v>
      </c>
    </row>
    <row r="10" spans="2:9" ht="20.100000000000001" customHeight="1">
      <c r="B10" s="365" t="s">
        <v>35</v>
      </c>
      <c r="C10" s="188">
        <v>106</v>
      </c>
      <c r="D10" s="539">
        <v>118</v>
      </c>
      <c r="E10" s="123">
        <v>70</v>
      </c>
      <c r="F10" s="539">
        <v>149</v>
      </c>
      <c r="G10" s="123">
        <v>159</v>
      </c>
    </row>
    <row r="11" spans="2:9" ht="20.100000000000001" customHeight="1">
      <c r="B11" s="20" t="s">
        <v>36</v>
      </c>
      <c r="C11" s="35">
        <v>16896</v>
      </c>
      <c r="D11" s="35">
        <v>20530</v>
      </c>
      <c r="E11" s="429">
        <v>28033</v>
      </c>
      <c r="F11" s="35">
        <v>30509</v>
      </c>
      <c r="G11" s="429">
        <v>34431</v>
      </c>
    </row>
    <row r="12" spans="2:9" ht="20.100000000000001" customHeight="1">
      <c r="B12" s="15" t="s">
        <v>137</v>
      </c>
      <c r="C12" s="197"/>
      <c r="D12" s="342"/>
      <c r="E12" s="122"/>
      <c r="F12" s="342"/>
      <c r="G12" s="122"/>
    </row>
    <row r="13" spans="2:9" ht="20.100000000000001" customHeight="1">
      <c r="B13" s="363" t="s">
        <v>40</v>
      </c>
      <c r="C13" s="186">
        <v>1193</v>
      </c>
      <c r="D13" s="342">
        <v>1835</v>
      </c>
      <c r="E13" s="122">
        <v>980</v>
      </c>
      <c r="F13" s="342">
        <v>1266</v>
      </c>
      <c r="G13" s="122">
        <v>1772</v>
      </c>
    </row>
    <row r="14" spans="2:9" ht="20.100000000000001" customHeight="1">
      <c r="B14" s="363" t="s">
        <v>41</v>
      </c>
      <c r="C14" s="186">
        <v>2805</v>
      </c>
      <c r="D14" s="342">
        <v>3842</v>
      </c>
      <c r="E14" s="122">
        <v>4783</v>
      </c>
      <c r="F14" s="342">
        <v>5880</v>
      </c>
      <c r="G14" s="122">
        <v>6289</v>
      </c>
    </row>
    <row r="15" spans="2:9" ht="20.100000000000001" customHeight="1">
      <c r="B15" s="363" t="s">
        <v>42</v>
      </c>
      <c r="C15" s="186">
        <v>2916</v>
      </c>
      <c r="D15" s="342">
        <v>2825</v>
      </c>
      <c r="E15" s="122">
        <v>3493</v>
      </c>
      <c r="F15" s="342">
        <v>3658</v>
      </c>
      <c r="G15" s="122">
        <v>4157</v>
      </c>
    </row>
    <row r="16" spans="2:9" ht="20.100000000000001" customHeight="1">
      <c r="B16" s="363" t="s">
        <v>43</v>
      </c>
      <c r="C16" s="186">
        <v>5030</v>
      </c>
      <c r="D16" s="342">
        <v>6859</v>
      </c>
      <c r="E16" s="122">
        <v>9154</v>
      </c>
      <c r="F16" s="342">
        <v>9798</v>
      </c>
      <c r="G16" s="122">
        <v>10705</v>
      </c>
    </row>
    <row r="17" spans="2:12" ht="20.100000000000001" customHeight="1">
      <c r="B17" s="365" t="s">
        <v>44</v>
      </c>
      <c r="C17" s="188">
        <v>4952</v>
      </c>
      <c r="D17" s="342">
        <v>5169</v>
      </c>
      <c r="E17" s="123">
        <v>9623</v>
      </c>
      <c r="F17" s="342">
        <v>9907</v>
      </c>
      <c r="G17" s="123">
        <v>11508</v>
      </c>
    </row>
    <row r="18" spans="2:12" ht="20.100000000000001" customHeight="1">
      <c r="B18" s="20" t="s">
        <v>36</v>
      </c>
      <c r="C18" s="35">
        <v>16896</v>
      </c>
      <c r="D18" s="35">
        <f>D17+D16+D15+D14+D13</f>
        <v>20530</v>
      </c>
      <c r="E18" s="429">
        <v>28033</v>
      </c>
      <c r="F18" s="35">
        <v>30509</v>
      </c>
      <c r="G18" s="429">
        <v>34431</v>
      </c>
    </row>
    <row r="20" spans="2:12" ht="20.100000000000001" customHeight="1">
      <c r="B20" s="450" t="s">
        <v>232</v>
      </c>
      <c r="C20" s="450"/>
      <c r="D20" s="450"/>
      <c r="E20" s="450"/>
      <c r="F20" s="450"/>
      <c r="G20" s="450"/>
    </row>
    <row r="22" spans="2:12" ht="20.100000000000001" customHeight="1">
      <c r="B22" s="449"/>
      <c r="C22" s="449"/>
      <c r="D22" s="449"/>
      <c r="E22" s="449"/>
      <c r="F22" s="449"/>
      <c r="G22" s="449"/>
    </row>
    <row r="24" spans="2:12" ht="20.100000000000001" customHeight="1">
      <c r="H24" s="449"/>
      <c r="I24" s="449"/>
      <c r="J24" s="449"/>
      <c r="K24" s="449"/>
      <c r="L24" s="449"/>
    </row>
  </sheetData>
  <mergeCells count="1">
    <mergeCell ref="B2:G2"/>
  </mergeCells>
  <pageMargins left="0.75000000000000011" right="0.75000000000000011" top="1" bottom="1" header="0.5" footer="0.5"/>
  <pageSetup paperSize="9" scale="94"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28">
    <tabColor rgb="FF0076BD"/>
    <pageSetUpPr fitToPage="1"/>
  </sheetPr>
  <dimension ref="B2:N12"/>
  <sheetViews>
    <sheetView showGridLines="0" view="pageBreakPreview" zoomScaleNormal="130" zoomScaleSheetLayoutView="100" zoomScalePageLayoutView="130" workbookViewId="0">
      <selection activeCell="H17" sqref="H17"/>
    </sheetView>
  </sheetViews>
  <sheetFormatPr defaultColWidth="10.875" defaultRowHeight="20.100000000000001" customHeight="1"/>
  <cols>
    <col min="1" max="1" width="5.5" style="451" customWidth="1"/>
    <col min="2" max="2" width="26.125" style="451" customWidth="1"/>
    <col min="3" max="12" width="10.5" style="451" customWidth="1"/>
    <col min="13" max="13" width="10.375" style="451" customWidth="1"/>
    <col min="14" max="14" width="10.5" style="451" hidden="1" customWidth="1"/>
    <col min="15" max="16384" width="10.875" style="451"/>
  </cols>
  <sheetData>
    <row r="2" spans="2:7" ht="20.100000000000001" customHeight="1">
      <c r="B2" s="1156" t="s">
        <v>215</v>
      </c>
      <c r="C2" s="1156"/>
      <c r="D2" s="1156"/>
      <c r="E2" s="1156"/>
      <c r="F2" s="1156"/>
      <c r="G2" s="1156"/>
    </row>
    <row r="3" spans="2:7" ht="20.100000000000001" customHeight="1">
      <c r="B3" s="449"/>
      <c r="C3" s="449"/>
      <c r="D3" s="449"/>
    </row>
    <row r="4" spans="2:7" ht="20.100000000000001" customHeight="1">
      <c r="B4" s="164" t="s">
        <v>13</v>
      </c>
      <c r="C4" s="362">
        <v>2017</v>
      </c>
      <c r="D4" s="362">
        <v>2016</v>
      </c>
      <c r="E4" s="362">
        <v>2015</v>
      </c>
      <c r="F4" s="362">
        <v>2014</v>
      </c>
      <c r="G4" s="362">
        <v>2013</v>
      </c>
    </row>
    <row r="5" spans="2:7" ht="20.100000000000001" customHeight="1">
      <c r="B5" s="509" t="s">
        <v>354</v>
      </c>
      <c r="C5" s="186">
        <v>11310</v>
      </c>
      <c r="D5" s="122">
        <v>14464</v>
      </c>
      <c r="E5" s="122">
        <v>20536</v>
      </c>
      <c r="F5" s="122">
        <v>22959</v>
      </c>
      <c r="G5" s="122">
        <v>24102</v>
      </c>
    </row>
    <row r="6" spans="2:7" ht="20.100000000000001" customHeight="1">
      <c r="B6" s="509" t="s">
        <v>317</v>
      </c>
      <c r="C6" s="186">
        <v>353</v>
      </c>
      <c r="D6" s="122">
        <v>270</v>
      </c>
      <c r="E6" s="122">
        <v>397</v>
      </c>
      <c r="F6" s="122"/>
      <c r="G6" s="122"/>
    </row>
    <row r="7" spans="2:7" ht="20.100000000000001" customHeight="1">
      <c r="B7" s="363" t="s">
        <v>146</v>
      </c>
      <c r="C7" s="186">
        <v>1625</v>
      </c>
      <c r="D7" s="122">
        <v>1642</v>
      </c>
      <c r="E7" s="122">
        <v>850</v>
      </c>
      <c r="F7" s="122">
        <v>1944</v>
      </c>
      <c r="G7" s="122">
        <v>2530</v>
      </c>
    </row>
    <row r="8" spans="2:7" ht="20.100000000000001" customHeight="1">
      <c r="B8" s="363" t="s">
        <v>147</v>
      </c>
      <c r="C8" s="186">
        <v>1019</v>
      </c>
      <c r="D8" s="122">
        <v>1003</v>
      </c>
      <c r="E8" s="122">
        <v>1130</v>
      </c>
      <c r="F8" s="122">
        <v>1424</v>
      </c>
      <c r="G8" s="122">
        <v>1579</v>
      </c>
    </row>
    <row r="9" spans="2:7" ht="20.100000000000001" customHeight="1">
      <c r="B9" s="365" t="s">
        <v>35</v>
      </c>
      <c r="C9" s="188">
        <f>+C10-SUM(C5:C8)</f>
        <v>88</v>
      </c>
      <c r="D9" s="123">
        <f>+D10-SUM(D5:D8)</f>
        <v>105</v>
      </c>
      <c r="E9" s="123">
        <v>63</v>
      </c>
      <c r="F9" s="123">
        <v>104</v>
      </c>
      <c r="G9" s="123">
        <v>97</v>
      </c>
    </row>
    <row r="10" spans="2:7" ht="20.100000000000001" customHeight="1">
      <c r="B10" s="63" t="s">
        <v>36</v>
      </c>
      <c r="C10" s="205">
        <v>14395</v>
      </c>
      <c r="D10" s="206">
        <v>17484</v>
      </c>
      <c r="E10" s="206">
        <v>22976</v>
      </c>
      <c r="F10" s="206">
        <v>26430</v>
      </c>
      <c r="G10" s="206">
        <v>28309</v>
      </c>
    </row>
    <row r="12" spans="2:7" ht="20.100000000000001" customHeight="1">
      <c r="B12" s="450" t="s">
        <v>233</v>
      </c>
    </row>
  </sheetData>
  <mergeCells count="1">
    <mergeCell ref="B2:G2"/>
  </mergeCells>
  <pageMargins left="0.75000000000000011" right="0.75000000000000011" top="1" bottom="1" header="0.5" footer="0.5"/>
  <pageSetup paperSize="9" scale="94"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29">
    <tabColor rgb="FF0076BD"/>
    <pageSetUpPr fitToPage="1"/>
  </sheetPr>
  <dimension ref="B2:N10"/>
  <sheetViews>
    <sheetView showGridLines="0" view="pageBreakPreview" zoomScaleNormal="150" zoomScaleSheetLayoutView="100" zoomScalePageLayoutView="150" workbookViewId="0"/>
  </sheetViews>
  <sheetFormatPr defaultColWidth="11" defaultRowHeight="20.100000000000001" customHeight="1"/>
  <cols>
    <col min="1" max="1" width="5.5" style="451" customWidth="1"/>
    <col min="2" max="2" width="26.125" style="451" customWidth="1"/>
    <col min="3" max="12" width="10.5" style="451" customWidth="1"/>
    <col min="13" max="13" width="10.375" style="451" customWidth="1"/>
    <col min="14" max="14" width="10.5" style="451" hidden="1" customWidth="1"/>
    <col min="15" max="16384" width="11" style="451"/>
  </cols>
  <sheetData>
    <row r="2" spans="2:7" ht="20.100000000000001" customHeight="1">
      <c r="B2" s="1156" t="str">
        <f>UPPER("Divestments by business segment")</f>
        <v>DIVESTMENTS BY BUSINESS SEGMENT</v>
      </c>
      <c r="C2" s="1156"/>
      <c r="D2" s="1156"/>
      <c r="E2" s="1156"/>
      <c r="F2" s="1156"/>
      <c r="G2" s="1156"/>
    </row>
    <row r="3" spans="2:7" ht="20.100000000000001" customHeight="1">
      <c r="B3" s="449"/>
      <c r="C3" s="449"/>
      <c r="D3" s="449"/>
    </row>
    <row r="4" spans="2:7" ht="20.100000000000001" customHeight="1">
      <c r="B4" s="164" t="s">
        <v>13</v>
      </c>
      <c r="C4" s="362">
        <v>2017</v>
      </c>
      <c r="D4" s="362">
        <v>2016</v>
      </c>
      <c r="E4" s="362">
        <v>2015</v>
      </c>
      <c r="F4" s="362">
        <v>2014</v>
      </c>
      <c r="G4" s="362">
        <v>2013</v>
      </c>
    </row>
    <row r="5" spans="2:7" ht="20.100000000000001" customHeight="1">
      <c r="B5" s="509" t="s">
        <v>318</v>
      </c>
      <c r="C5" s="186">
        <v>1918</v>
      </c>
      <c r="D5" s="122">
        <v>2187</v>
      </c>
      <c r="E5" s="122">
        <v>2880</v>
      </c>
      <c r="F5" s="122">
        <v>5764</v>
      </c>
      <c r="G5" s="541">
        <v>5786</v>
      </c>
    </row>
    <row r="6" spans="2:7" ht="20.100000000000001" customHeight="1">
      <c r="B6" s="509" t="s">
        <v>317</v>
      </c>
      <c r="C6" s="186">
        <v>73</v>
      </c>
      <c r="D6" s="122">
        <v>166</v>
      </c>
      <c r="E6" s="122">
        <v>418</v>
      </c>
      <c r="F6" s="122"/>
      <c r="G6" s="541"/>
    </row>
    <row r="7" spans="2:7" ht="20.100000000000001" customHeight="1">
      <c r="B7" s="363" t="s">
        <v>146</v>
      </c>
      <c r="C7" s="186">
        <v>2820</v>
      </c>
      <c r="D7" s="122">
        <v>88</v>
      </c>
      <c r="E7" s="122">
        <v>3494</v>
      </c>
      <c r="F7" s="122">
        <v>192</v>
      </c>
      <c r="G7" s="541">
        <v>365</v>
      </c>
    </row>
    <row r="8" spans="2:7" ht="20.100000000000001" customHeight="1">
      <c r="B8" s="363" t="s">
        <v>147</v>
      </c>
      <c r="C8" s="186">
        <v>413</v>
      </c>
      <c r="D8" s="122">
        <v>424</v>
      </c>
      <c r="E8" s="122">
        <v>767</v>
      </c>
      <c r="F8" s="122">
        <v>163</v>
      </c>
      <c r="G8" s="541">
        <v>186</v>
      </c>
    </row>
    <row r="9" spans="2:7" ht="20.100000000000001" customHeight="1">
      <c r="B9" s="365" t="s">
        <v>35</v>
      </c>
      <c r="C9" s="188">
        <v>40</v>
      </c>
      <c r="D9" s="123">
        <v>12</v>
      </c>
      <c r="E9" s="123">
        <v>25</v>
      </c>
      <c r="F9" s="123">
        <v>71</v>
      </c>
      <c r="G9" s="540">
        <v>62</v>
      </c>
    </row>
    <row r="10" spans="2:7" ht="20.100000000000001" customHeight="1">
      <c r="B10" s="63" t="s">
        <v>36</v>
      </c>
      <c r="C10" s="205">
        <v>5264</v>
      </c>
      <c r="D10" s="206">
        <v>2877</v>
      </c>
      <c r="E10" s="206">
        <v>7584</v>
      </c>
      <c r="F10" s="206">
        <v>6190</v>
      </c>
      <c r="G10" s="206">
        <v>6399</v>
      </c>
    </row>
  </sheetData>
  <mergeCells count="1">
    <mergeCell ref="B2:G2"/>
  </mergeCells>
  <pageMargins left="0.75000000000000011" right="0.75000000000000011" top="1" bottom="1" header="0.5" footer="0.5"/>
  <pageSetup paperSize="9" scale="9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3">
    <tabColor rgb="FF0076BD"/>
    <pageSetUpPr fitToPage="1"/>
  </sheetPr>
  <dimension ref="B1:J41"/>
  <sheetViews>
    <sheetView showGridLines="0" view="pageBreakPreview" zoomScaleSheetLayoutView="100" workbookViewId="0">
      <selection activeCell="B23" sqref="B23"/>
    </sheetView>
  </sheetViews>
  <sheetFormatPr defaultColWidth="11" defaultRowHeight="20.100000000000001" customHeight="1"/>
  <cols>
    <col min="1" max="1" width="5.5" style="451" customWidth="1"/>
    <col min="2" max="2" width="62" style="451" customWidth="1"/>
    <col min="3" max="7" width="13.125" style="451" customWidth="1"/>
    <col min="8" max="8" width="11.125" style="451" customWidth="1"/>
    <col min="9" max="9" width="10.375" style="451" customWidth="1"/>
    <col min="10" max="10" width="11.125" style="451" hidden="1" customWidth="1"/>
    <col min="11" max="16384" width="11" style="451"/>
  </cols>
  <sheetData>
    <row r="1" spans="2:10" ht="20.100000000000001" customHeight="1">
      <c r="E1" s="74"/>
    </row>
    <row r="2" spans="2:10" ht="20.100000000000001" customHeight="1">
      <c r="B2" s="1156" t="s">
        <v>161</v>
      </c>
      <c r="C2" s="1156"/>
      <c r="D2" s="1156"/>
      <c r="E2" s="1156"/>
      <c r="F2" s="1156"/>
      <c r="G2" s="1156"/>
      <c r="H2" s="1156"/>
      <c r="I2" s="1156"/>
      <c r="J2" s="1156"/>
    </row>
    <row r="3" spans="2:10" ht="20.100000000000001" customHeight="1">
      <c r="B3" s="449"/>
      <c r="C3" s="449"/>
      <c r="D3" s="449"/>
    </row>
    <row r="4" spans="2:10" ht="20.100000000000001" customHeight="1">
      <c r="B4" s="1"/>
      <c r="C4" s="1"/>
      <c r="D4" s="1159"/>
      <c r="E4" s="1159"/>
      <c r="F4" s="1159"/>
      <c r="G4" s="1159"/>
      <c r="H4" s="1159"/>
      <c r="I4" s="1159"/>
    </row>
    <row r="5" spans="2:10" ht="20.100000000000001" customHeight="1">
      <c r="B5" s="2" t="s">
        <v>4</v>
      </c>
      <c r="C5" s="333">
        <v>2017</v>
      </c>
      <c r="D5" s="333">
        <v>2016</v>
      </c>
      <c r="E5" s="333">
        <v>2015</v>
      </c>
      <c r="F5" s="362">
        <v>2014</v>
      </c>
      <c r="G5" s="362">
        <v>2013</v>
      </c>
    </row>
    <row r="6" spans="2:10" ht="20.100000000000001" customHeight="1">
      <c r="B6" s="76" t="s">
        <v>0</v>
      </c>
      <c r="C6" s="270">
        <v>171493</v>
      </c>
      <c r="D6" s="287">
        <v>149743</v>
      </c>
      <c r="E6" s="115">
        <v>165357</v>
      </c>
      <c r="F6" s="115">
        <v>236122</v>
      </c>
      <c r="G6" s="317">
        <v>251725</v>
      </c>
    </row>
    <row r="7" spans="2:10" ht="20.100000000000001" customHeight="1">
      <c r="B7" s="261" t="s">
        <v>255</v>
      </c>
      <c r="C7" s="260">
        <v>11936</v>
      </c>
      <c r="D7" s="287">
        <v>9410</v>
      </c>
      <c r="E7" s="262">
        <f>+'Financial highlights (p27)'!E5+'Financial highlights (p103)'!E5+'﻿Financial highlights (p113)'!E5+'﻿Financial highlights (p93)'!E5</f>
        <v>11327</v>
      </c>
      <c r="F7" s="262">
        <f>+'Financial highlights (p27)'!F5+'Financial highlights (p103)'!F5+'﻿Financial highlights (p113)'!F5</f>
        <v>14247</v>
      </c>
      <c r="G7" s="262">
        <f>+'Financial highlights (p27)'!G5+'Financial highlights (p103)'!G5+'﻿Financial highlights (p113)'!G5</f>
        <v>15861</v>
      </c>
    </row>
    <row r="8" spans="2:10" s="364" customFormat="1" ht="20.100000000000001" customHeight="1">
      <c r="B8" s="223" t="s">
        <v>1</v>
      </c>
      <c r="C8" s="271">
        <v>8631</v>
      </c>
      <c r="D8" s="276">
        <v>6196</v>
      </c>
      <c r="E8" s="222">
        <v>5087</v>
      </c>
      <c r="F8" s="222">
        <v>4244</v>
      </c>
      <c r="G8" s="222">
        <v>11228</v>
      </c>
    </row>
    <row r="9" spans="2:10" ht="20.100000000000001" customHeight="1">
      <c r="B9" s="263" t="s">
        <v>2</v>
      </c>
      <c r="C9" s="183">
        <v>10578</v>
      </c>
      <c r="D9" s="287">
        <v>8287</v>
      </c>
      <c r="E9" s="264">
        <v>10518</v>
      </c>
      <c r="F9" s="264">
        <v>12837</v>
      </c>
      <c r="G9" s="265">
        <v>14292</v>
      </c>
    </row>
    <row r="10" spans="2:10" s="364" customFormat="1" ht="20.100000000000001" customHeight="1">
      <c r="B10" s="139" t="s">
        <v>254</v>
      </c>
      <c r="C10" s="272">
        <v>4.12</v>
      </c>
      <c r="D10" s="286">
        <v>3.38</v>
      </c>
      <c r="E10" s="242">
        <v>4.51</v>
      </c>
      <c r="F10" s="242">
        <v>5.63</v>
      </c>
      <c r="G10" s="285">
        <v>6.29</v>
      </c>
    </row>
    <row r="11" spans="2:10" s="364" customFormat="1" ht="20.100000000000001" customHeight="1">
      <c r="B11" s="139" t="s">
        <v>253</v>
      </c>
      <c r="C11" s="272" t="s">
        <v>316</v>
      </c>
      <c r="D11" s="242">
        <v>2.4500000000000002</v>
      </c>
      <c r="E11" s="242">
        <v>2.44</v>
      </c>
      <c r="F11" s="242">
        <v>2.44</v>
      </c>
      <c r="G11" s="320">
        <v>2.38</v>
      </c>
    </row>
    <row r="12" spans="2:10" ht="20.100000000000001" customHeight="1">
      <c r="B12" s="263" t="s">
        <v>252</v>
      </c>
      <c r="C12" s="302" t="s">
        <v>315</v>
      </c>
      <c r="D12" s="297">
        <v>2.61</v>
      </c>
      <c r="E12" s="297">
        <v>2.67</v>
      </c>
      <c r="F12" s="297">
        <v>2.93</v>
      </c>
      <c r="G12" s="298">
        <v>3.24</v>
      </c>
    </row>
    <row r="13" spans="2:10" ht="20.100000000000001" customHeight="1">
      <c r="B13" s="77" t="s">
        <v>258</v>
      </c>
      <c r="C13" s="273">
        <v>0.13800000000000001</v>
      </c>
      <c r="D13" s="277">
        <v>0.27100000000000002</v>
      </c>
      <c r="E13" s="240">
        <v>0.28299999999999997</v>
      </c>
      <c r="F13" s="240">
        <v>0.313</v>
      </c>
      <c r="G13" s="319">
        <v>0.23300000000000001</v>
      </c>
    </row>
    <row r="14" spans="2:10" ht="20.100000000000001" customHeight="1">
      <c r="B14" s="77" t="s">
        <v>259</v>
      </c>
      <c r="C14" s="273">
        <v>9.3700000000000006E-2</v>
      </c>
      <c r="D14" s="277">
        <v>7.4999999999999997E-2</v>
      </c>
      <c r="E14" s="240">
        <v>9.4E-2</v>
      </c>
      <c r="F14" s="240">
        <v>0.111</v>
      </c>
      <c r="G14" s="319">
        <v>0.13</v>
      </c>
    </row>
    <row r="15" spans="2:10" s="364" customFormat="1" ht="20.100000000000001" customHeight="1">
      <c r="B15" s="223" t="s">
        <v>192</v>
      </c>
      <c r="C15" s="273">
        <v>0.10100000000000001</v>
      </c>
      <c r="D15" s="277">
        <v>8.6999999999999994E-2</v>
      </c>
      <c r="E15" s="277">
        <v>0.115</v>
      </c>
      <c r="F15" s="277">
        <v>0.13500000000000001</v>
      </c>
      <c r="G15" s="277">
        <v>0.14899999999999999</v>
      </c>
      <c r="H15" s="184"/>
      <c r="I15" s="184"/>
    </row>
    <row r="16" spans="2:10" ht="20.100000000000001" customHeight="1">
      <c r="B16" s="263" t="s">
        <v>3</v>
      </c>
      <c r="C16" s="274">
        <v>22319</v>
      </c>
      <c r="D16" s="262">
        <v>16521</v>
      </c>
      <c r="E16" s="264">
        <v>19946</v>
      </c>
      <c r="F16" s="264">
        <v>25608</v>
      </c>
      <c r="G16" s="265">
        <v>28513</v>
      </c>
      <c r="H16" s="55"/>
      <c r="I16" s="55"/>
    </row>
    <row r="17" spans="2:10" s="439" customFormat="1" ht="20.100000000000001" customHeight="1">
      <c r="B17" s="485" t="s">
        <v>314</v>
      </c>
      <c r="C17" s="483">
        <v>21135</v>
      </c>
      <c r="D17" s="478">
        <v>16988</v>
      </c>
      <c r="E17" s="482">
        <v>19376</v>
      </c>
      <c r="F17" s="482">
        <v>24597</v>
      </c>
      <c r="G17" s="481">
        <v>27053</v>
      </c>
      <c r="H17" s="486"/>
      <c r="I17" s="486"/>
    </row>
    <row r="18" spans="2:10" s="471" customFormat="1" ht="20.100000000000001" customHeight="1">
      <c r="B18" s="485" t="s">
        <v>313</v>
      </c>
      <c r="C18" s="483">
        <v>22183</v>
      </c>
      <c r="D18" s="478">
        <v>17581</v>
      </c>
      <c r="E18" s="482">
        <v>19839</v>
      </c>
      <c r="F18" s="482">
        <v>24944</v>
      </c>
      <c r="G18" s="481">
        <v>27422</v>
      </c>
      <c r="H18" s="475"/>
      <c r="I18" s="475"/>
    </row>
    <row r="19" spans="2:10" s="471" customFormat="1" ht="20.100000000000001" customHeight="1">
      <c r="B19" s="484" t="s">
        <v>312</v>
      </c>
      <c r="C19" s="483">
        <v>16896</v>
      </c>
      <c r="D19" s="478">
        <v>20530</v>
      </c>
      <c r="E19" s="482">
        <v>28033</v>
      </c>
      <c r="F19" s="482">
        <v>30509</v>
      </c>
      <c r="G19" s="481">
        <v>34431</v>
      </c>
      <c r="H19" s="475"/>
      <c r="I19" s="475"/>
    </row>
    <row r="20" spans="2:10" s="471" customFormat="1" ht="20.100000000000001" customHeight="1">
      <c r="B20" s="480" t="s">
        <v>311</v>
      </c>
      <c r="C20" s="479">
        <v>14395</v>
      </c>
      <c r="D20" s="478">
        <v>17484</v>
      </c>
      <c r="E20" s="477">
        <v>22976</v>
      </c>
      <c r="F20" s="477">
        <v>26430</v>
      </c>
      <c r="G20" s="476">
        <v>28309</v>
      </c>
      <c r="H20" s="475"/>
      <c r="I20" s="475"/>
    </row>
    <row r="21" spans="2:10" ht="20.100000000000001" customHeight="1">
      <c r="B21" s="82" t="s">
        <v>185</v>
      </c>
      <c r="C21" s="275">
        <v>5264</v>
      </c>
      <c r="D21" s="116">
        <v>2877</v>
      </c>
      <c r="E21" s="116">
        <v>7584</v>
      </c>
      <c r="F21" s="116">
        <v>6190</v>
      </c>
      <c r="G21" s="318">
        <v>6399</v>
      </c>
      <c r="H21" s="55"/>
      <c r="I21" s="55"/>
    </row>
    <row r="22" spans="2:10" ht="20.100000000000001" customHeight="1">
      <c r="B22" s="75"/>
      <c r="C22" s="75"/>
      <c r="D22" s="300"/>
      <c r="E22" s="75"/>
      <c r="F22" s="75"/>
      <c r="G22" s="75"/>
      <c r="H22" s="75"/>
      <c r="I22" s="75"/>
      <c r="J22" s="75"/>
    </row>
    <row r="23" spans="2:10" ht="14.1" customHeight="1">
      <c r="B23" s="311" t="s">
        <v>256</v>
      </c>
      <c r="C23" s="311"/>
      <c r="D23" s="311"/>
      <c r="E23" s="311"/>
      <c r="F23" s="311"/>
      <c r="G23" s="311"/>
      <c r="H23" s="311"/>
      <c r="I23" s="311"/>
      <c r="J23" s="311"/>
    </row>
    <row r="24" spans="2:10" ht="12.75" customHeight="1">
      <c r="B24" s="313" t="s">
        <v>268</v>
      </c>
      <c r="C24" s="312"/>
      <c r="D24" s="312"/>
      <c r="E24" s="312"/>
      <c r="F24" s="312"/>
      <c r="G24" s="312"/>
      <c r="H24" s="312"/>
      <c r="I24" s="312"/>
      <c r="J24" s="312"/>
    </row>
    <row r="25" spans="2:10" ht="14.1" customHeight="1">
      <c r="B25" s="462" t="s">
        <v>310</v>
      </c>
      <c r="C25" s="353"/>
      <c r="D25" s="353"/>
      <c r="E25" s="353"/>
      <c r="F25" s="353"/>
      <c r="G25" s="353"/>
      <c r="H25" s="353"/>
      <c r="I25" s="353"/>
      <c r="J25" s="353"/>
    </row>
    <row r="26" spans="2:10" ht="24.75" customHeight="1">
      <c r="B26" s="1160" t="s">
        <v>309</v>
      </c>
      <c r="C26" s="1160"/>
      <c r="D26" s="1160"/>
      <c r="E26" s="1160"/>
      <c r="F26" s="1160"/>
      <c r="G26" s="1160"/>
      <c r="H26" s="457"/>
      <c r="I26" s="457"/>
      <c r="J26" s="457"/>
    </row>
    <row r="27" spans="2:10" s="471" customFormat="1" ht="14.1" customHeight="1">
      <c r="B27" s="472" t="s">
        <v>257</v>
      </c>
      <c r="C27" s="474"/>
      <c r="D27" s="474"/>
      <c r="E27" s="474"/>
      <c r="F27" s="474"/>
      <c r="G27" s="474"/>
      <c r="H27" s="474"/>
      <c r="I27" s="474"/>
      <c r="J27" s="474"/>
    </row>
    <row r="28" spans="2:10" s="471" customFormat="1" ht="14.1" customHeight="1">
      <c r="B28" s="472" t="s">
        <v>308</v>
      </c>
      <c r="C28" s="474"/>
      <c r="D28" s="474"/>
      <c r="E28" s="474"/>
      <c r="F28" s="474"/>
      <c r="G28" s="474"/>
      <c r="H28" s="474"/>
      <c r="I28" s="474"/>
      <c r="J28" s="474"/>
    </row>
    <row r="29" spans="2:10" s="471" customFormat="1" ht="14.1" customHeight="1">
      <c r="B29" s="472" t="s">
        <v>307</v>
      </c>
      <c r="C29" s="474"/>
      <c r="D29" s="474"/>
      <c r="E29" s="474"/>
      <c r="F29" s="474"/>
      <c r="G29" s="474"/>
      <c r="H29" s="474"/>
      <c r="I29" s="474"/>
      <c r="J29" s="474"/>
    </row>
    <row r="30" spans="2:10" s="471" customFormat="1" ht="14.1" customHeight="1">
      <c r="B30" s="472" t="s">
        <v>306</v>
      </c>
      <c r="C30" s="473"/>
      <c r="D30" s="473"/>
      <c r="E30" s="473"/>
      <c r="F30" s="473"/>
      <c r="G30" s="473"/>
      <c r="H30" s="473"/>
      <c r="I30" s="473"/>
      <c r="J30" s="473"/>
    </row>
    <row r="31" spans="2:10" s="471" customFormat="1" ht="13.5" customHeight="1">
      <c r="B31" s="472" t="s">
        <v>305</v>
      </c>
    </row>
    <row r="32" spans="2:10" ht="15" customHeight="1">
      <c r="B32" s="454"/>
    </row>
    <row r="33" spans="2:4" ht="19.5" hidden="1" customHeight="1"/>
    <row r="34" spans="2:4" ht="19.5" hidden="1" customHeight="1">
      <c r="B34" s="83"/>
      <c r="C34" s="83"/>
      <c r="D34" s="83"/>
    </row>
    <row r="35" spans="2:4" ht="19.5" hidden="1" customHeight="1"/>
    <row r="36" spans="2:4" ht="19.5" hidden="1" customHeight="1"/>
    <row r="37" spans="2:4" ht="19.5" hidden="1" customHeight="1"/>
    <row r="38" spans="2:4" ht="19.5" hidden="1" customHeight="1"/>
    <row r="39" spans="2:4" ht="19.5" hidden="1" customHeight="1"/>
    <row r="40" spans="2:4" ht="19.5" hidden="1" customHeight="1"/>
    <row r="41" spans="2:4" ht="19.5" hidden="1" customHeight="1"/>
  </sheetData>
  <mergeCells count="3">
    <mergeCell ref="D4:I4"/>
    <mergeCell ref="B2:J2"/>
    <mergeCell ref="B26:G26"/>
  </mergeCells>
  <pageMargins left="0.75000000000000011" right="0.75000000000000011" top="0" bottom="1" header="0.5" footer="0.5"/>
  <pageSetup paperSize="9" scale="90"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30">
    <tabColor rgb="FF0076BD"/>
    <pageSetUpPr fitToPage="1"/>
  </sheetPr>
  <dimension ref="B2:Q40"/>
  <sheetViews>
    <sheetView showGridLines="0" zoomScaleNormal="100" zoomScalePageLayoutView="115" workbookViewId="0"/>
  </sheetViews>
  <sheetFormatPr defaultColWidth="11" defaultRowHeight="20.100000000000001" customHeight="1"/>
  <cols>
    <col min="1" max="1" width="3.125" style="451" customWidth="1"/>
    <col min="2" max="2" width="58.875" style="451" customWidth="1"/>
    <col min="3" max="8" width="12.625" style="451" customWidth="1"/>
    <col min="9" max="15" width="11.125" style="451" customWidth="1"/>
    <col min="16" max="16384" width="11" style="451"/>
  </cols>
  <sheetData>
    <row r="2" spans="2:15" ht="20.100000000000001" customHeight="1">
      <c r="B2" s="1156" t="s">
        <v>269</v>
      </c>
      <c r="C2" s="1156"/>
      <c r="D2" s="1156"/>
      <c r="E2" s="1156"/>
      <c r="F2" s="1156"/>
      <c r="G2" s="1156"/>
      <c r="H2" s="1156"/>
      <c r="I2" s="1156"/>
      <c r="J2" s="1156"/>
      <c r="K2" s="1156"/>
      <c r="L2" s="1156"/>
      <c r="M2" s="1156"/>
      <c r="N2" s="1156"/>
      <c r="O2" s="1156"/>
    </row>
    <row r="4" spans="2:15" ht="20.100000000000001" customHeight="1">
      <c r="D4" s="1159"/>
      <c r="E4" s="1159"/>
      <c r="F4" s="1159"/>
      <c r="G4" s="1159"/>
      <c r="H4" s="1159"/>
      <c r="I4" s="1159"/>
      <c r="J4" s="1159"/>
      <c r="K4" s="1159"/>
      <c r="L4" s="1159"/>
      <c r="M4" s="1159"/>
      <c r="N4" s="1159"/>
    </row>
    <row r="5" spans="2:15" ht="20.100000000000001" customHeight="1">
      <c r="B5" s="427"/>
      <c r="C5" s="368">
        <v>2017</v>
      </c>
      <c r="D5" s="368">
        <v>2016</v>
      </c>
      <c r="E5" s="362">
        <v>2015</v>
      </c>
      <c r="F5" s="362">
        <v>2014</v>
      </c>
      <c r="G5" s="362">
        <v>2013</v>
      </c>
      <c r="H5" s="362">
        <v>2012</v>
      </c>
      <c r="I5" s="413">
        <v>2011</v>
      </c>
    </row>
    <row r="6" spans="2:15" ht="20.100000000000001" customHeight="1">
      <c r="B6" s="363" t="s">
        <v>270</v>
      </c>
      <c r="C6" s="376">
        <v>2528989616</v>
      </c>
      <c r="D6" s="382">
        <v>2430365862</v>
      </c>
      <c r="E6" s="382">
        <v>2440057883</v>
      </c>
      <c r="F6" s="382">
        <v>2385267525</v>
      </c>
      <c r="G6" s="383">
        <v>2377678160</v>
      </c>
      <c r="H6" s="416">
        <v>2365933146</v>
      </c>
      <c r="I6" s="416">
        <v>2363767313</v>
      </c>
    </row>
    <row r="7" spans="2:15" ht="20.100000000000001" customHeight="1">
      <c r="B7" s="412" t="s">
        <v>271</v>
      </c>
      <c r="C7" s="376">
        <v>2494756413</v>
      </c>
      <c r="D7" s="380" t="s">
        <v>272</v>
      </c>
      <c r="E7" s="380">
        <v>2304435542</v>
      </c>
      <c r="F7" s="380">
        <v>2281004151</v>
      </c>
      <c r="G7" s="378">
        <v>2271543658</v>
      </c>
      <c r="H7" s="414">
        <v>2266635745</v>
      </c>
      <c r="I7" s="414">
        <v>2256951403</v>
      </c>
    </row>
    <row r="8" spans="2:15" ht="20.100000000000001" customHeight="1">
      <c r="B8" s="363" t="s">
        <v>273</v>
      </c>
      <c r="C8" s="376">
        <v>2535742821</v>
      </c>
      <c r="D8" s="380">
        <v>2435713864</v>
      </c>
      <c r="E8" s="380">
        <v>2336295758</v>
      </c>
      <c r="F8" s="380">
        <v>2285476721</v>
      </c>
      <c r="G8" s="378">
        <v>2275897141</v>
      </c>
      <c r="H8" s="414">
        <v>2270350218</v>
      </c>
      <c r="I8" s="414">
        <v>2263790054</v>
      </c>
    </row>
    <row r="9" spans="2:15" ht="20.100000000000001" customHeight="1">
      <c r="B9" s="365" t="s">
        <v>274</v>
      </c>
      <c r="C9" s="377">
        <v>8376756</v>
      </c>
      <c r="D9" s="381">
        <v>10587822</v>
      </c>
      <c r="E9" s="381">
        <v>113967758</v>
      </c>
      <c r="F9" s="381">
        <v>109361413</v>
      </c>
      <c r="G9" s="379">
        <v>109214448</v>
      </c>
      <c r="H9" s="415">
        <v>108391639</v>
      </c>
      <c r="I9" s="415">
        <v>109554173</v>
      </c>
    </row>
    <row r="10" spans="2:15" s="364" customFormat="1" ht="20.100000000000001" customHeight="1">
      <c r="B10" s="370" t="s">
        <v>275</v>
      </c>
      <c r="C10" s="392"/>
      <c r="D10" s="409"/>
      <c r="E10" s="409"/>
      <c r="F10" s="409"/>
      <c r="G10" s="410"/>
      <c r="H10" s="421"/>
      <c r="I10" s="421"/>
    </row>
    <row r="11" spans="2:15" ht="20.100000000000001" customHeight="1">
      <c r="B11" s="363" t="s">
        <v>276</v>
      </c>
      <c r="C11" s="393">
        <v>49.5</v>
      </c>
      <c r="D11" s="375">
        <v>48.89</v>
      </c>
      <c r="E11" s="394">
        <v>50.3</v>
      </c>
      <c r="F11" s="394">
        <v>54.71</v>
      </c>
      <c r="G11" s="395">
        <v>45.67</v>
      </c>
      <c r="H11" s="422">
        <v>42.97</v>
      </c>
      <c r="I11" s="422">
        <v>44.55</v>
      </c>
    </row>
    <row r="12" spans="2:15" ht="20.100000000000001" customHeight="1">
      <c r="B12" s="363" t="s">
        <v>277</v>
      </c>
      <c r="C12" s="393">
        <v>42.23</v>
      </c>
      <c r="D12" s="375">
        <v>35.21</v>
      </c>
      <c r="E12" s="394">
        <v>36.92</v>
      </c>
      <c r="F12" s="394">
        <v>38.25</v>
      </c>
      <c r="G12" s="395">
        <v>35.18</v>
      </c>
      <c r="H12" s="422">
        <v>33.42</v>
      </c>
      <c r="I12" s="422">
        <v>29.4</v>
      </c>
    </row>
    <row r="13" spans="2:15" ht="20.100000000000001" customHeight="1">
      <c r="B13" s="365" t="s">
        <v>278</v>
      </c>
      <c r="C13" s="396">
        <v>46.05</v>
      </c>
      <c r="D13" s="316">
        <v>48.72</v>
      </c>
      <c r="E13" s="397">
        <v>41.27</v>
      </c>
      <c r="F13" s="397">
        <v>42.52</v>
      </c>
      <c r="G13" s="398">
        <v>44.53</v>
      </c>
      <c r="H13" s="423">
        <v>39.01</v>
      </c>
      <c r="I13" s="423">
        <v>39.5</v>
      </c>
    </row>
    <row r="14" spans="2:15" s="364" customFormat="1" ht="20.100000000000001" customHeight="1">
      <c r="B14" s="370" t="s">
        <v>279</v>
      </c>
      <c r="C14" s="392"/>
      <c r="D14" s="409"/>
      <c r="E14" s="409"/>
      <c r="F14" s="409"/>
      <c r="G14" s="410"/>
      <c r="H14" s="411"/>
      <c r="I14" s="421"/>
    </row>
    <row r="15" spans="2:15" ht="20.100000000000001" customHeight="1">
      <c r="B15" s="363" t="s">
        <v>276</v>
      </c>
      <c r="C15" s="393">
        <v>57.07</v>
      </c>
      <c r="D15" s="375">
        <v>51.36</v>
      </c>
      <c r="E15" s="394">
        <v>55.86</v>
      </c>
      <c r="F15" s="394">
        <v>74.22</v>
      </c>
      <c r="G15" s="395">
        <v>62.45</v>
      </c>
      <c r="H15" s="422">
        <v>57.06</v>
      </c>
      <c r="I15" s="422">
        <v>64.44</v>
      </c>
    </row>
    <row r="16" spans="2:15" ht="20.100000000000001" customHeight="1">
      <c r="B16" s="363" t="s">
        <v>277</v>
      </c>
      <c r="C16" s="393">
        <v>48.15</v>
      </c>
      <c r="D16" s="375">
        <v>39.049999999999997</v>
      </c>
      <c r="E16" s="394">
        <v>40.93</v>
      </c>
      <c r="F16" s="394">
        <v>48.43</v>
      </c>
      <c r="G16" s="395">
        <v>45.93</v>
      </c>
      <c r="H16" s="422">
        <v>41.75</v>
      </c>
      <c r="I16" s="422">
        <v>40</v>
      </c>
    </row>
    <row r="17" spans="2:17" ht="20.100000000000001" customHeight="1">
      <c r="B17" s="365" t="s">
        <v>278</v>
      </c>
      <c r="C17" s="396">
        <v>55.28</v>
      </c>
      <c r="D17" s="316">
        <v>50.97</v>
      </c>
      <c r="E17" s="397">
        <v>44.95</v>
      </c>
      <c r="F17" s="397">
        <v>51.2</v>
      </c>
      <c r="G17" s="398">
        <v>61.27</v>
      </c>
      <c r="H17" s="423">
        <v>52.01</v>
      </c>
      <c r="I17" s="423">
        <v>51.11</v>
      </c>
    </row>
    <row r="18" spans="2:17" s="364" customFormat="1" ht="20.100000000000001" customHeight="1">
      <c r="B18" s="370" t="s">
        <v>280</v>
      </c>
      <c r="C18" s="392"/>
      <c r="D18" s="399"/>
      <c r="E18" s="399"/>
      <c r="F18" s="399"/>
      <c r="G18" s="400"/>
      <c r="H18" s="421"/>
      <c r="I18" s="421"/>
    </row>
    <row r="19" spans="2:17" ht="20.100000000000001" customHeight="1">
      <c r="B19" s="363" t="s">
        <v>281</v>
      </c>
      <c r="C19" s="401">
        <v>116.4</v>
      </c>
      <c r="D19" s="375">
        <v>118.4</v>
      </c>
      <c r="E19" s="402">
        <v>100.7</v>
      </c>
      <c r="F19" s="402">
        <v>101.4</v>
      </c>
      <c r="G19" s="403">
        <v>105.9</v>
      </c>
      <c r="H19" s="424">
        <v>92.3</v>
      </c>
      <c r="I19" s="424">
        <v>93.4</v>
      </c>
    </row>
    <row r="20" spans="2:17" ht="20.100000000000001" customHeight="1">
      <c r="B20" s="365" t="s">
        <v>282</v>
      </c>
      <c r="C20" s="404">
        <v>139.80000000000001</v>
      </c>
      <c r="D20" s="316">
        <v>123.8</v>
      </c>
      <c r="E20" s="405">
        <v>109.7</v>
      </c>
      <c r="F20" s="405">
        <v>122.1</v>
      </c>
      <c r="G20" s="406">
        <v>145.69999999999999</v>
      </c>
      <c r="H20" s="425">
        <v>123.1</v>
      </c>
      <c r="I20" s="425">
        <v>120.8</v>
      </c>
    </row>
    <row r="21" spans="2:17" s="364" customFormat="1" ht="20.100000000000001" customHeight="1">
      <c r="B21" s="370" t="s">
        <v>283</v>
      </c>
      <c r="C21" s="386"/>
      <c r="D21" s="384"/>
      <c r="E21" s="384"/>
      <c r="F21" s="384"/>
      <c r="G21" s="385"/>
      <c r="H21" s="417"/>
      <c r="I21" s="417"/>
    </row>
    <row r="22" spans="2:17" ht="20.100000000000001" customHeight="1">
      <c r="B22" s="363" t="s">
        <v>284</v>
      </c>
      <c r="C22" s="376">
        <v>5380909</v>
      </c>
      <c r="D22" s="380">
        <v>6508817</v>
      </c>
      <c r="E22" s="380">
        <v>7412179</v>
      </c>
      <c r="F22" s="380">
        <v>5519597</v>
      </c>
      <c r="G22" s="378">
        <v>4439725</v>
      </c>
      <c r="H22" s="414">
        <v>5622504</v>
      </c>
      <c r="I22" s="414">
        <v>6565732</v>
      </c>
    </row>
    <row r="23" spans="2:17" ht="20.100000000000001" customHeight="1">
      <c r="B23" s="365" t="s">
        <v>285</v>
      </c>
      <c r="C23" s="377">
        <v>1667928</v>
      </c>
      <c r="D23" s="381">
        <v>2109802</v>
      </c>
      <c r="E23" s="381">
        <v>1853669</v>
      </c>
      <c r="F23" s="381">
        <v>1277433</v>
      </c>
      <c r="G23" s="379">
        <v>1371780</v>
      </c>
      <c r="H23" s="415">
        <v>3291705</v>
      </c>
      <c r="I23" s="415">
        <v>4245743</v>
      </c>
    </row>
    <row r="24" spans="2:17" ht="20.100000000000001" customHeight="1">
      <c r="B24" s="371" t="s">
        <v>286</v>
      </c>
      <c r="C24" s="388">
        <v>4.12</v>
      </c>
      <c r="D24" s="315">
        <v>3.38</v>
      </c>
      <c r="E24" s="389">
        <v>4.51</v>
      </c>
      <c r="F24" s="389">
        <v>5.63</v>
      </c>
      <c r="G24" s="390">
        <v>6.29</v>
      </c>
      <c r="H24" s="419">
        <v>6.96</v>
      </c>
      <c r="I24" s="419">
        <v>7.07</v>
      </c>
    </row>
    <row r="25" spans="2:17" ht="20.100000000000001" customHeight="1">
      <c r="B25" s="363" t="s">
        <v>287</v>
      </c>
      <c r="C25" s="314" t="s">
        <v>359</v>
      </c>
      <c r="D25" s="394">
        <v>2.4500000000000002</v>
      </c>
      <c r="E25" s="394">
        <v>2.44</v>
      </c>
      <c r="F25" s="394">
        <v>2.44</v>
      </c>
      <c r="G25" s="395">
        <v>2.38</v>
      </c>
      <c r="H25" s="422">
        <v>2.34</v>
      </c>
      <c r="I25" s="422">
        <v>2.2799999999999998</v>
      </c>
    </row>
    <row r="26" spans="2:17" ht="20.100000000000001" customHeight="1">
      <c r="B26" s="363" t="s">
        <v>288</v>
      </c>
      <c r="C26" s="544" t="s">
        <v>358</v>
      </c>
      <c r="D26" s="394">
        <v>2.61</v>
      </c>
      <c r="E26" s="394" t="s">
        <v>357</v>
      </c>
      <c r="F26" s="394">
        <v>2.93</v>
      </c>
      <c r="G26" s="395">
        <v>3.24</v>
      </c>
      <c r="H26" s="422">
        <v>3.05</v>
      </c>
      <c r="I26" s="422">
        <v>2.97</v>
      </c>
    </row>
    <row r="27" spans="2:17" ht="20.100000000000001" customHeight="1">
      <c r="B27" s="363" t="s">
        <v>289</v>
      </c>
      <c r="C27" s="391">
        <v>0.68</v>
      </c>
      <c r="D27" s="374">
        <v>0.8</v>
      </c>
      <c r="E27" s="374">
        <v>0.6</v>
      </c>
      <c r="F27" s="374">
        <v>0.57999999999999996</v>
      </c>
      <c r="G27" s="420">
        <v>0.5</v>
      </c>
      <c r="H27" s="420">
        <v>0.43</v>
      </c>
      <c r="I27" s="420">
        <v>0.45</v>
      </c>
      <c r="J27" s="372"/>
    </row>
    <row r="28" spans="2:17" ht="20.100000000000001" customHeight="1">
      <c r="B28" s="363" t="s">
        <v>290</v>
      </c>
      <c r="C28" s="543">
        <v>12.6</v>
      </c>
      <c r="D28" s="375">
        <v>15.9</v>
      </c>
      <c r="E28" s="387">
        <v>10.1</v>
      </c>
      <c r="F28" s="387">
        <v>10.1</v>
      </c>
      <c r="G28" s="418">
        <v>9.4</v>
      </c>
      <c r="H28" s="418">
        <v>7.2</v>
      </c>
      <c r="I28" s="418">
        <v>7.8</v>
      </c>
    </row>
    <row r="29" spans="2:17" ht="20.100000000000001" customHeight="1">
      <c r="B29" s="369" t="s">
        <v>291</v>
      </c>
      <c r="C29" s="407">
        <v>5.3900000000000003E-2</v>
      </c>
      <c r="D29" s="408">
        <v>5.0299999999999997E-2</v>
      </c>
      <c r="E29" s="408">
        <v>5.91E-2</v>
      </c>
      <c r="F29" s="408">
        <v>5.74E-2</v>
      </c>
      <c r="G29" s="426">
        <v>5.3400000000000003E-2</v>
      </c>
      <c r="H29" s="426">
        <v>0.06</v>
      </c>
      <c r="I29" s="426">
        <v>5.7700000000000001E-2</v>
      </c>
    </row>
    <row r="30" spans="2:17" ht="20.100000000000001" customHeight="1">
      <c r="C30" s="542"/>
    </row>
    <row r="31" spans="2:17" ht="14.1" customHeight="1">
      <c r="B31" s="1182" t="s">
        <v>292</v>
      </c>
      <c r="C31" s="1182"/>
      <c r="D31" s="1182"/>
      <c r="E31" s="1182"/>
      <c r="F31" s="1182"/>
      <c r="G31" s="1182"/>
      <c r="H31" s="1182"/>
      <c r="I31" s="1182"/>
      <c r="J31" s="1182"/>
      <c r="K31" s="1182"/>
      <c r="L31" s="1182"/>
      <c r="M31" s="1182"/>
      <c r="N31" s="1182"/>
      <c r="O31" s="1182"/>
      <c r="P31" s="458"/>
      <c r="Q31" s="458"/>
    </row>
    <row r="32" spans="2:17" ht="14.1" customHeight="1">
      <c r="B32" s="1183" t="s">
        <v>293</v>
      </c>
      <c r="C32" s="1183"/>
      <c r="D32" s="1183"/>
      <c r="E32" s="1183"/>
      <c r="F32" s="1183"/>
      <c r="G32" s="1183"/>
      <c r="H32" s="1183"/>
      <c r="I32" s="1183"/>
      <c r="J32" s="1183"/>
      <c r="K32" s="1183"/>
      <c r="L32" s="1183"/>
      <c r="M32" s="1183"/>
      <c r="N32" s="1183"/>
      <c r="O32" s="1183"/>
      <c r="P32" s="459"/>
      <c r="Q32" s="459"/>
    </row>
    <row r="33" spans="2:17" ht="15.75" customHeight="1">
      <c r="B33" s="1161" t="s">
        <v>356</v>
      </c>
      <c r="C33" s="1161"/>
      <c r="D33" s="1161"/>
      <c r="E33" s="1161"/>
      <c r="F33" s="1161"/>
      <c r="G33" s="1161"/>
      <c r="H33" s="1161"/>
      <c r="I33" s="1161"/>
      <c r="J33" s="1161"/>
      <c r="K33" s="1161"/>
      <c r="L33" s="1161"/>
      <c r="M33" s="1161"/>
      <c r="N33" s="1161"/>
      <c r="O33" s="1161"/>
      <c r="P33" s="373"/>
      <c r="Q33" s="373"/>
    </row>
    <row r="34" spans="2:17" ht="36" customHeight="1">
      <c r="B34" s="1180" t="s">
        <v>355</v>
      </c>
      <c r="C34" s="1181"/>
      <c r="D34" s="1181"/>
      <c r="E34" s="1181"/>
      <c r="F34" s="1181"/>
      <c r="G34" s="1181"/>
      <c r="H34" s="1181"/>
      <c r="I34" s="1181"/>
      <c r="J34" s="1181"/>
      <c r="K34" s="1181"/>
      <c r="L34" s="1181"/>
      <c r="M34" s="1181"/>
      <c r="N34" s="1181"/>
      <c r="O34" s="1181"/>
      <c r="P34" s="373"/>
      <c r="Q34" s="373"/>
    </row>
    <row r="35" spans="2:17" ht="14.1" customHeight="1">
      <c r="B35" s="1179" t="s">
        <v>294</v>
      </c>
      <c r="C35" s="1179"/>
      <c r="D35" s="1179"/>
      <c r="E35" s="1179"/>
      <c r="F35" s="1179"/>
      <c r="G35" s="1179"/>
      <c r="H35" s="1179"/>
      <c r="I35" s="1179"/>
      <c r="J35" s="1179"/>
      <c r="K35" s="1179"/>
      <c r="L35" s="1179"/>
      <c r="M35" s="1179"/>
      <c r="N35" s="1179"/>
      <c r="O35" s="1179"/>
      <c r="P35" s="456"/>
      <c r="Q35" s="456"/>
    </row>
    <row r="36" spans="2:17" ht="14.1" customHeight="1">
      <c r="B36" s="1179" t="s">
        <v>295</v>
      </c>
      <c r="C36" s="1179"/>
      <c r="D36" s="1179"/>
      <c r="E36" s="1179"/>
      <c r="F36" s="1179"/>
      <c r="G36" s="1179"/>
      <c r="H36" s="1179"/>
      <c r="I36" s="1179"/>
      <c r="J36" s="1179"/>
      <c r="K36" s="1179"/>
      <c r="L36" s="1179"/>
      <c r="M36" s="1179"/>
      <c r="N36" s="1179"/>
      <c r="O36" s="1179"/>
      <c r="P36" s="456"/>
      <c r="Q36" s="456"/>
    </row>
    <row r="37" spans="2:17" ht="14.1" customHeight="1">
      <c r="B37" s="1179" t="s">
        <v>296</v>
      </c>
      <c r="C37" s="1179"/>
      <c r="D37" s="1179"/>
      <c r="E37" s="1179"/>
      <c r="F37" s="1179"/>
      <c r="G37" s="1179"/>
      <c r="H37" s="1179"/>
      <c r="I37" s="1179"/>
      <c r="J37" s="1179"/>
      <c r="K37" s="1179"/>
      <c r="L37" s="1179"/>
      <c r="M37" s="1179"/>
      <c r="N37" s="1179"/>
      <c r="O37" s="1179"/>
      <c r="P37" s="456"/>
      <c r="Q37" s="456"/>
    </row>
    <row r="38" spans="2:17" ht="20.100000000000001" customHeight="1">
      <c r="C38" s="542"/>
    </row>
    <row r="39" spans="2:17" ht="20.100000000000001" customHeight="1">
      <c r="B39" s="1161"/>
      <c r="C39" s="1161"/>
      <c r="D39" s="1161"/>
      <c r="E39" s="1161"/>
      <c r="F39" s="1161"/>
      <c r="G39" s="1161"/>
      <c r="H39" s="1161"/>
      <c r="I39" s="1161"/>
      <c r="J39" s="1161"/>
      <c r="K39" s="1161"/>
      <c r="L39" s="1161"/>
      <c r="M39" s="1161"/>
      <c r="N39" s="1161"/>
      <c r="O39" s="1161"/>
    </row>
    <row r="40" spans="2:17" ht="20.100000000000001" customHeight="1">
      <c r="B40" s="1173"/>
      <c r="C40" s="1173"/>
      <c r="D40" s="1173"/>
      <c r="E40" s="1173"/>
      <c r="F40" s="1173"/>
      <c r="G40" s="1173"/>
      <c r="H40" s="1173"/>
      <c r="I40" s="1173"/>
      <c r="J40" s="1173"/>
      <c r="K40" s="1173"/>
      <c r="L40" s="1173"/>
      <c r="M40" s="1173"/>
      <c r="N40" s="1173"/>
      <c r="O40" s="1173"/>
    </row>
  </sheetData>
  <mergeCells count="11">
    <mergeCell ref="B34:O34"/>
    <mergeCell ref="B2:O2"/>
    <mergeCell ref="D4:N4"/>
    <mergeCell ref="B31:O31"/>
    <mergeCell ref="B32:O32"/>
    <mergeCell ref="B33:O33"/>
    <mergeCell ref="B35:O35"/>
    <mergeCell ref="B36:O36"/>
    <mergeCell ref="B37:O37"/>
    <mergeCell ref="B39:O39"/>
    <mergeCell ref="B40:O40"/>
  </mergeCells>
  <pageMargins left="0.74803149606299213" right="0.74803149606299213" top="0.98425196850393704" bottom="0.98425196850393704" header="0.51181102362204722" footer="0.51181102362204722"/>
  <pageSetup paperSize="9" scale="57"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31">
    <tabColor rgb="FF0076BD"/>
  </sheetPr>
  <dimension ref="B2:N9"/>
  <sheetViews>
    <sheetView showGridLines="0" zoomScaleNormal="100" zoomScalePageLayoutView="115" workbookViewId="0"/>
  </sheetViews>
  <sheetFormatPr defaultColWidth="11" defaultRowHeight="20.100000000000001" customHeight="1"/>
  <cols>
    <col min="1" max="1" width="5.5" style="451" customWidth="1"/>
    <col min="2" max="2" width="42.5" style="451" customWidth="1"/>
    <col min="3" max="12" width="10.5" style="451" customWidth="1"/>
    <col min="13" max="13" width="10.375" style="451" customWidth="1"/>
    <col min="14" max="14" width="10.5" style="451" hidden="1" customWidth="1"/>
    <col min="15" max="16384" width="11" style="451"/>
  </cols>
  <sheetData>
    <row r="2" spans="2:14" ht="20.100000000000001" customHeight="1">
      <c r="B2" s="1156" t="s">
        <v>142</v>
      </c>
      <c r="C2" s="1156"/>
      <c r="D2" s="1156"/>
      <c r="E2" s="1156"/>
      <c r="F2" s="1156"/>
      <c r="G2" s="1156"/>
      <c r="H2" s="1156"/>
      <c r="I2" s="1156"/>
      <c r="J2" s="1156"/>
      <c r="K2" s="1156"/>
      <c r="L2" s="1156"/>
      <c r="M2" s="1156"/>
      <c r="N2" s="1156"/>
    </row>
    <row r="4" spans="2:14" ht="20.100000000000001" customHeight="1">
      <c r="B4" s="21" t="s">
        <v>20</v>
      </c>
      <c r="C4" s="340">
        <v>2017</v>
      </c>
      <c r="D4" s="340">
        <v>2016</v>
      </c>
      <c r="E4" s="340">
        <v>2015</v>
      </c>
      <c r="F4" s="340">
        <v>2014</v>
      </c>
      <c r="G4" s="340">
        <v>2013</v>
      </c>
    </row>
    <row r="5" spans="2:14" ht="20.100000000000001" customHeight="1">
      <c r="B5" s="22" t="s">
        <v>13</v>
      </c>
      <c r="C5" s="345" t="s">
        <v>19</v>
      </c>
      <c r="D5" s="345" t="s">
        <v>19</v>
      </c>
      <c r="E5" s="345" t="s">
        <v>19</v>
      </c>
      <c r="F5" s="345" t="s">
        <v>19</v>
      </c>
      <c r="G5" s="345" t="s">
        <v>19</v>
      </c>
    </row>
    <row r="6" spans="2:14" ht="20.100000000000001" customHeight="1">
      <c r="B6" s="71" t="s">
        <v>234</v>
      </c>
      <c r="C6" s="207">
        <v>7985</v>
      </c>
      <c r="D6" s="208">
        <v>8238</v>
      </c>
      <c r="E6" s="299">
        <v>8088</v>
      </c>
      <c r="F6" s="208">
        <v>9690</v>
      </c>
      <c r="G6" s="208">
        <v>9424</v>
      </c>
    </row>
    <row r="7" spans="2:14" ht="12.95" customHeight="1"/>
    <row r="8" spans="2:14" ht="13.5" customHeight="1">
      <c r="B8" s="1184" t="s">
        <v>235</v>
      </c>
      <c r="C8" s="1184"/>
      <c r="D8" s="1184"/>
      <c r="E8" s="1184"/>
      <c r="F8" s="1184"/>
      <c r="G8" s="1184"/>
      <c r="H8" s="1184"/>
      <c r="I8" s="1184"/>
      <c r="J8" s="1184"/>
      <c r="K8" s="1184"/>
      <c r="L8" s="1184"/>
      <c r="M8" s="1184"/>
      <c r="N8" s="1184"/>
    </row>
    <row r="9" spans="2:14" ht="14.1" customHeight="1"/>
  </sheetData>
  <mergeCells count="2">
    <mergeCell ref="B2:N2"/>
    <mergeCell ref="B8:N8"/>
  </mergeCells>
  <pageMargins left="0.74803149606299213" right="0.74803149606299213" top="0.98425196850393704" bottom="0.98425196850393704" header="0.51181102362204722" footer="0.51181102362204722"/>
  <pageSetup paperSize="9" scale="65"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32">
    <tabColor rgb="FF0076BD"/>
  </sheetPr>
  <dimension ref="B2:P32"/>
  <sheetViews>
    <sheetView showGridLines="0" zoomScaleNormal="100" zoomScaleSheetLayoutView="70" zoomScalePageLayoutView="85" workbookViewId="0">
      <selection activeCell="H17" sqref="H17"/>
    </sheetView>
  </sheetViews>
  <sheetFormatPr defaultColWidth="11" defaultRowHeight="20.100000000000001" customHeight="1"/>
  <cols>
    <col min="1" max="1" width="5.5" style="451" customWidth="1"/>
    <col min="2" max="2" width="39.375" style="451" customWidth="1"/>
    <col min="3" max="5" width="10.875" style="451" customWidth="1"/>
    <col min="6" max="13" width="11" style="451"/>
    <col min="14" max="14" width="10.375" style="451" customWidth="1"/>
    <col min="15" max="15" width="0" style="451" hidden="1" customWidth="1"/>
    <col min="16" max="16384" width="11" style="451"/>
  </cols>
  <sheetData>
    <row r="2" spans="2:16" ht="20.100000000000001" customHeight="1">
      <c r="B2" s="1156" t="str">
        <f>UPPER("Number of employees")</f>
        <v>NUMBER OF EMPLOYEES</v>
      </c>
      <c r="C2" s="1156"/>
      <c r="D2" s="1156"/>
      <c r="E2" s="1156"/>
      <c r="F2" s="1156"/>
      <c r="G2" s="1156"/>
      <c r="H2" s="1156"/>
      <c r="I2" s="1156"/>
      <c r="J2" s="1156"/>
      <c r="K2" s="1156"/>
      <c r="L2" s="1156"/>
      <c r="M2" s="1156"/>
      <c r="N2" s="1156"/>
      <c r="O2" s="1156"/>
      <c r="P2" s="1156"/>
    </row>
    <row r="4" spans="2:16" ht="20.100000000000001" customHeight="1">
      <c r="B4" s="16" t="s">
        <v>45</v>
      </c>
      <c r="C4" s="333">
        <v>2017</v>
      </c>
      <c r="D4" s="333">
        <v>2016</v>
      </c>
      <c r="E4" s="333">
        <v>2015</v>
      </c>
      <c r="F4" s="333">
        <v>2014</v>
      </c>
      <c r="G4" s="333">
        <v>2013</v>
      </c>
    </row>
    <row r="5" spans="2:16" ht="20.100000000000001" customHeight="1">
      <c r="B5" s="15" t="s">
        <v>143</v>
      </c>
      <c r="C5" s="121"/>
      <c r="D5" s="322"/>
      <c r="E5" s="322"/>
      <c r="F5" s="322"/>
      <c r="G5" s="360"/>
    </row>
    <row r="6" spans="2:16" ht="20.100000000000001" customHeight="1">
      <c r="B6" s="363" t="s">
        <v>40</v>
      </c>
      <c r="C6" s="235">
        <v>0.32100000000000001</v>
      </c>
      <c r="D6" s="178">
        <v>0.311</v>
      </c>
      <c r="E6" s="178">
        <v>0.315</v>
      </c>
      <c r="F6" s="178">
        <v>0.32500000000000001</v>
      </c>
      <c r="G6" s="179">
        <v>0.33600000000000002</v>
      </c>
    </row>
    <row r="7" spans="2:16" ht="20.100000000000001" customHeight="1">
      <c r="B7" s="363" t="s">
        <v>41</v>
      </c>
      <c r="C7" s="235">
        <v>0.26100000000000001</v>
      </c>
      <c r="D7" s="178">
        <v>0.252</v>
      </c>
      <c r="E7" s="178">
        <v>0.245</v>
      </c>
      <c r="F7" s="178">
        <v>0.23899999999999999</v>
      </c>
      <c r="G7" s="179">
        <v>0.23400000000000001</v>
      </c>
    </row>
    <row r="8" spans="2:16" ht="20.100000000000001" customHeight="1">
      <c r="B8" s="365" t="s">
        <v>44</v>
      </c>
      <c r="C8" s="236">
        <v>0.41799999999999998</v>
      </c>
      <c r="D8" s="180">
        <v>0.437</v>
      </c>
      <c r="E8" s="180">
        <v>0.44</v>
      </c>
      <c r="F8" s="180">
        <v>0.436</v>
      </c>
      <c r="G8" s="181">
        <v>0.43</v>
      </c>
    </row>
    <row r="9" spans="2:16" ht="20.100000000000001" customHeight="1">
      <c r="B9" s="20" t="s">
        <v>36</v>
      </c>
      <c r="C9" s="347">
        <v>98277</v>
      </c>
      <c r="D9" s="347">
        <v>102168</v>
      </c>
      <c r="E9" s="347">
        <v>96019</v>
      </c>
      <c r="F9" s="347">
        <v>100307</v>
      </c>
      <c r="G9" s="347">
        <v>98799</v>
      </c>
    </row>
    <row r="10" spans="2:16" ht="20.100000000000001" customHeight="1">
      <c r="F10" s="52"/>
      <c r="G10" s="430"/>
      <c r="H10" s="430"/>
      <c r="I10" s="430"/>
    </row>
    <row r="11" spans="2:16" ht="20.100000000000001" customHeight="1">
      <c r="B11" s="16" t="s">
        <v>45</v>
      </c>
      <c r="C11" s="333">
        <v>2017</v>
      </c>
      <c r="D11" s="165">
        <v>2016</v>
      </c>
      <c r="E11" s="368">
        <v>2015</v>
      </c>
    </row>
    <row r="12" spans="2:16" ht="20.100000000000001" customHeight="1">
      <c r="B12" s="15" t="s">
        <v>144</v>
      </c>
      <c r="C12" s="161"/>
      <c r="D12" s="124"/>
      <c r="E12" s="124"/>
    </row>
    <row r="13" spans="2:16" ht="20.100000000000001" customHeight="1">
      <c r="B13" s="509" t="s">
        <v>217</v>
      </c>
      <c r="C13" s="555">
        <v>0.14299999999999999</v>
      </c>
      <c r="D13" s="178">
        <v>0.14599999999999999</v>
      </c>
      <c r="E13" s="178">
        <v>0.17100000000000001</v>
      </c>
    </row>
    <row r="14" spans="2:16" ht="20.100000000000001" customHeight="1">
      <c r="B14" s="509" t="s">
        <v>317</v>
      </c>
      <c r="C14" s="555">
        <v>0.11799999999999999</v>
      </c>
      <c r="D14" s="178">
        <v>0.127</v>
      </c>
      <c r="E14" s="178">
        <v>9.8000000000000004E-2</v>
      </c>
    </row>
    <row r="15" spans="2:16" ht="20.100000000000001" customHeight="1">
      <c r="B15" s="363" t="s">
        <v>146</v>
      </c>
      <c r="C15" s="555">
        <v>0.498</v>
      </c>
      <c r="D15" s="178">
        <v>0.504</v>
      </c>
      <c r="E15" s="178">
        <v>0.502</v>
      </c>
    </row>
    <row r="16" spans="2:16" ht="20.100000000000001" customHeight="1">
      <c r="B16" s="363" t="s">
        <v>147</v>
      </c>
      <c r="C16" s="555">
        <v>0.216</v>
      </c>
      <c r="D16" s="178">
        <v>0.20399999999999999</v>
      </c>
      <c r="E16" s="178">
        <v>0.21299999999999999</v>
      </c>
    </row>
    <row r="17" spans="2:16" ht="20.100000000000001" customHeight="1">
      <c r="B17" s="365" t="s">
        <v>35</v>
      </c>
      <c r="C17" s="554">
        <v>2.5000000000000001E-2</v>
      </c>
      <c r="D17" s="180">
        <v>1.9E-2</v>
      </c>
      <c r="E17" s="180">
        <v>1.6E-2</v>
      </c>
    </row>
    <row r="18" spans="2:16" ht="20.100000000000001" customHeight="1">
      <c r="B18" s="20" t="s">
        <v>36</v>
      </c>
      <c r="C18" s="347">
        <v>98277</v>
      </c>
      <c r="D18" s="347">
        <v>102168</v>
      </c>
      <c r="E18" s="347">
        <v>96019</v>
      </c>
    </row>
    <row r="20" spans="2:16" ht="14.1" customHeight="1">
      <c r="B20" s="1161" t="s">
        <v>216</v>
      </c>
      <c r="C20" s="1161"/>
      <c r="D20" s="1161"/>
      <c r="E20" s="1161"/>
      <c r="F20" s="1161"/>
      <c r="G20" s="1161"/>
      <c r="H20" s="1161"/>
      <c r="I20" s="1161"/>
      <c r="J20" s="1161"/>
      <c r="K20" s="1161"/>
      <c r="L20" s="1161"/>
      <c r="M20" s="1161"/>
      <c r="N20" s="1161"/>
      <c r="O20" s="1161"/>
      <c r="P20" s="1161"/>
    </row>
    <row r="21" spans="2:16" ht="14.1" customHeight="1">
      <c r="B21" s="1161" t="s">
        <v>19</v>
      </c>
      <c r="C21" s="1161"/>
      <c r="D21" s="1161"/>
      <c r="E21" s="1161"/>
      <c r="F21" s="1161"/>
      <c r="G21" s="1161"/>
      <c r="H21" s="1161"/>
      <c r="I21" s="1161"/>
      <c r="J21" s="1161"/>
      <c r="K21" s="1161"/>
      <c r="L21" s="1161"/>
      <c r="M21" s="1161"/>
      <c r="N21" s="1161"/>
      <c r="O21" s="1161"/>
      <c r="P21" s="1161"/>
    </row>
    <row r="22" spans="2:16" ht="20.100000000000001" customHeight="1">
      <c r="B22" s="150" t="s">
        <v>303</v>
      </c>
      <c r="C22" s="138"/>
      <c r="D22" s="553"/>
      <c r="H22" s="153"/>
    </row>
    <row r="23" spans="2:16" ht="20.100000000000001" customHeight="1">
      <c r="B23" s="335" t="s">
        <v>249</v>
      </c>
      <c r="C23" s="552">
        <v>95865</v>
      </c>
      <c r="H23" s="151"/>
    </row>
    <row r="24" spans="2:16" ht="20.100000000000001" customHeight="1">
      <c r="B24" s="551" t="s">
        <v>217</v>
      </c>
      <c r="C24" s="546">
        <v>13023</v>
      </c>
      <c r="H24" s="151"/>
    </row>
    <row r="25" spans="2:16" ht="20.100000000000001" customHeight="1">
      <c r="B25" s="550" t="s">
        <v>317</v>
      </c>
      <c r="C25" s="549">
        <v>11492</v>
      </c>
      <c r="H25" s="151"/>
    </row>
    <row r="26" spans="2:16" ht="20.100000000000001" customHeight="1">
      <c r="B26" s="237" t="s">
        <v>146</v>
      </c>
      <c r="C26" s="549">
        <v>47985</v>
      </c>
      <c r="H26" s="151"/>
    </row>
    <row r="27" spans="2:16" ht="20.100000000000001" customHeight="1">
      <c r="B27" s="239" t="s">
        <v>146</v>
      </c>
      <c r="C27" s="548">
        <v>47350</v>
      </c>
      <c r="H27" s="151"/>
    </row>
    <row r="28" spans="2:16" ht="20.100000000000001" customHeight="1">
      <c r="B28" s="238" t="s">
        <v>218</v>
      </c>
      <c r="C28" s="547">
        <v>635</v>
      </c>
      <c r="H28" s="151"/>
    </row>
    <row r="29" spans="2:16" ht="20.100000000000001" customHeight="1">
      <c r="B29" s="153" t="s">
        <v>147</v>
      </c>
      <c r="C29" s="546">
        <v>20932</v>
      </c>
      <c r="H29" s="151"/>
    </row>
    <row r="30" spans="2:16" ht="20.100000000000001" customHeight="1">
      <c r="B30" s="268" t="s">
        <v>35</v>
      </c>
      <c r="C30" s="545">
        <v>2433</v>
      </c>
      <c r="H30" s="453"/>
    </row>
    <row r="31" spans="2:16" ht="20.25" customHeight="1">
      <c r="C31" s="304"/>
    </row>
    <row r="32" spans="2:16" ht="75.75" customHeight="1">
      <c r="B32" s="1185" t="s">
        <v>236</v>
      </c>
      <c r="C32" s="1185"/>
    </row>
  </sheetData>
  <mergeCells count="4">
    <mergeCell ref="B2:P2"/>
    <mergeCell ref="B20:P20"/>
    <mergeCell ref="B21:P21"/>
    <mergeCell ref="B32:C32"/>
  </mergeCells>
  <pageMargins left="0.74803149606299213" right="0.74803149606299213" top="0.98425196850393704" bottom="0.98425196850393704" header="0.51181102362204722" footer="0.51181102362204722"/>
  <pageSetup paperSize="9" scale="63" orientation="portrait" r:id="rId1"/>
  <colBreaks count="1" manualBreakCount="1">
    <brk id="9" max="1048575" man="1"/>
  </col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33">
    <tabColor rgb="FF733E8D"/>
  </sheetPr>
  <dimension ref="A1:H21"/>
  <sheetViews>
    <sheetView showGridLines="0" view="pageBreakPreview" zoomScaleNormal="130" zoomScaleSheetLayoutView="100" zoomScalePageLayoutView="130" workbookViewId="0"/>
  </sheetViews>
  <sheetFormatPr defaultColWidth="10.875" defaultRowHeight="20.100000000000001" customHeight="1"/>
  <cols>
    <col min="1" max="1" width="5.5" style="451" customWidth="1"/>
    <col min="2" max="2" width="62.125" style="451" customWidth="1"/>
    <col min="3" max="4" width="10.875" style="451" customWidth="1"/>
    <col min="5" max="7" width="10.875" style="451"/>
    <col min="8" max="8" width="0.125" style="451" customWidth="1"/>
    <col min="9" max="12" width="10.875" style="451"/>
    <col min="13" max="13" width="10.375" style="451" customWidth="1"/>
    <col min="14" max="14" width="0" style="451" hidden="1" customWidth="1"/>
    <col min="15" max="16384" width="10.875" style="451"/>
  </cols>
  <sheetData>
    <row r="1" spans="1:8" ht="20.100000000000001" customHeight="1">
      <c r="A1" s="460"/>
      <c r="B1" s="460"/>
      <c r="C1" s="460"/>
      <c r="D1" s="460"/>
      <c r="E1" s="460"/>
      <c r="F1" s="460"/>
      <c r="G1" s="460"/>
      <c r="H1" s="460"/>
    </row>
    <row r="2" spans="1:8" ht="20.100000000000001" customHeight="1">
      <c r="A2" s="460"/>
      <c r="B2" s="1156" t="s">
        <v>369</v>
      </c>
      <c r="C2" s="1156"/>
      <c r="D2" s="1156"/>
      <c r="E2" s="1156"/>
      <c r="F2" s="1156"/>
      <c r="G2" s="1156"/>
      <c r="H2" s="460"/>
    </row>
    <row r="3" spans="1:8" ht="20.100000000000001" customHeight="1">
      <c r="A3" s="460"/>
      <c r="B3" s="213"/>
      <c r="C3" s="213"/>
      <c r="D3" s="213"/>
      <c r="E3" s="460"/>
      <c r="F3" s="460"/>
      <c r="G3" s="460"/>
      <c r="H3" s="460"/>
    </row>
    <row r="4" spans="1:8" ht="20.100000000000001" customHeight="1">
      <c r="A4" s="460"/>
      <c r="B4" s="220" t="s">
        <v>13</v>
      </c>
      <c r="C4" s="221">
        <v>2017</v>
      </c>
      <c r="D4" s="221">
        <v>2016</v>
      </c>
      <c r="E4" s="219">
        <v>2015</v>
      </c>
      <c r="F4" s="219">
        <v>2014</v>
      </c>
      <c r="G4" s="461">
        <v>2013</v>
      </c>
      <c r="H4" s="460"/>
    </row>
    <row r="5" spans="1:8" ht="20.100000000000001" customHeight="1">
      <c r="A5" s="460"/>
      <c r="B5" s="567" t="s">
        <v>368</v>
      </c>
      <c r="C5" s="269">
        <v>5985</v>
      </c>
      <c r="D5" s="122">
        <v>3217</v>
      </c>
      <c r="E5" s="122">
        <v>4330</v>
      </c>
      <c r="F5" s="569">
        <v>10504</v>
      </c>
      <c r="G5" s="568">
        <v>12450</v>
      </c>
      <c r="H5" s="460"/>
    </row>
    <row r="6" spans="1:8" ht="20.100000000000001" customHeight="1">
      <c r="A6" s="460"/>
      <c r="B6" s="567" t="s">
        <v>367</v>
      </c>
      <c r="C6" s="269">
        <v>12802</v>
      </c>
      <c r="D6" s="122">
        <v>16085</v>
      </c>
      <c r="E6" s="122">
        <v>24233</v>
      </c>
      <c r="F6" s="569">
        <v>26520</v>
      </c>
      <c r="G6" s="568">
        <v>29750</v>
      </c>
      <c r="H6" s="460"/>
    </row>
    <row r="7" spans="1:8" ht="20.100000000000001" customHeight="1">
      <c r="A7" s="460"/>
      <c r="B7" s="567" t="s">
        <v>366</v>
      </c>
      <c r="C7" s="269">
        <v>11310</v>
      </c>
      <c r="D7" s="122">
        <v>14464</v>
      </c>
      <c r="E7" s="122">
        <f>+'Organic investments by bs (p21)'!E5</f>
        <v>20536</v>
      </c>
      <c r="F7" s="569">
        <v>22959</v>
      </c>
      <c r="G7" s="568">
        <v>24102</v>
      </c>
      <c r="H7" s="460"/>
    </row>
    <row r="8" spans="1:8" ht="20.100000000000001" customHeight="1">
      <c r="A8" s="460"/>
      <c r="B8" s="567" t="s">
        <v>185</v>
      </c>
      <c r="C8" s="269">
        <v>1918</v>
      </c>
      <c r="D8" s="122">
        <v>2187</v>
      </c>
      <c r="E8" s="122">
        <v>2880</v>
      </c>
      <c r="F8" s="569">
        <v>5764</v>
      </c>
      <c r="G8" s="568">
        <v>5786</v>
      </c>
      <c r="H8" s="460"/>
    </row>
    <row r="9" spans="1:8" ht="20.100000000000001" customHeight="1">
      <c r="A9" s="460"/>
      <c r="B9" s="567" t="s">
        <v>184</v>
      </c>
      <c r="C9" s="566">
        <v>11459</v>
      </c>
      <c r="D9" s="123">
        <v>9010</v>
      </c>
      <c r="E9" s="123">
        <v>11567</v>
      </c>
      <c r="F9" s="565">
        <v>16666</v>
      </c>
      <c r="G9" s="564">
        <v>21857</v>
      </c>
      <c r="H9" s="460"/>
    </row>
    <row r="10" spans="1:8" s="471" customFormat="1" ht="20.100000000000001" customHeight="1">
      <c r="B10" s="563" t="s">
        <v>365</v>
      </c>
      <c r="C10" s="562">
        <v>14753</v>
      </c>
      <c r="D10" s="561">
        <v>10592</v>
      </c>
      <c r="E10" s="561">
        <v>11920</v>
      </c>
      <c r="F10" s="560">
        <v>19077</v>
      </c>
      <c r="G10" s="559">
        <v>22394</v>
      </c>
    </row>
    <row r="11" spans="1:8" s="471" customFormat="1" ht="9" customHeight="1">
      <c r="B11" s="142"/>
      <c r="C11" s="464"/>
      <c r="D11" s="464"/>
      <c r="E11" s="557"/>
      <c r="F11" s="556"/>
      <c r="G11" s="556"/>
    </row>
    <row r="12" spans="1:8" s="471" customFormat="1" ht="15" customHeight="1">
      <c r="B12" s="558" t="s">
        <v>364</v>
      </c>
      <c r="C12" s="464"/>
      <c r="D12" s="464"/>
      <c r="E12" s="557"/>
      <c r="F12" s="556"/>
      <c r="G12" s="556"/>
    </row>
    <row r="13" spans="1:8" s="471" customFormat="1" ht="13.5" customHeight="1">
      <c r="B13" s="464" t="s">
        <v>363</v>
      </c>
      <c r="C13" s="464"/>
      <c r="D13" s="464"/>
      <c r="E13" s="464"/>
      <c r="F13" s="464"/>
      <c r="G13" s="464"/>
    </row>
    <row r="14" spans="1:8" s="471" customFormat="1" ht="13.5" customHeight="1">
      <c r="B14" s="464" t="s">
        <v>362</v>
      </c>
      <c r="C14" s="464"/>
      <c r="D14" s="464"/>
      <c r="E14" s="464"/>
      <c r="F14" s="464"/>
      <c r="G14" s="464"/>
      <c r="H14" s="1186"/>
    </row>
    <row r="15" spans="1:8" s="471" customFormat="1" ht="13.5" customHeight="1">
      <c r="A15" s="1187"/>
      <c r="B15" s="464" t="s">
        <v>361</v>
      </c>
      <c r="E15" s="464"/>
      <c r="F15" s="464"/>
      <c r="G15" s="464"/>
      <c r="H15" s="1186"/>
    </row>
    <row r="16" spans="1:8" s="471" customFormat="1" ht="13.5" customHeight="1">
      <c r="A16" s="1187"/>
      <c r="B16" s="464" t="s">
        <v>360</v>
      </c>
      <c r="E16" s="464"/>
      <c r="F16" s="464"/>
      <c r="G16" s="464"/>
    </row>
    <row r="17" spans="1:8" ht="16.5" customHeight="1">
      <c r="A17" s="1187"/>
      <c r="B17" s="460"/>
      <c r="C17" s="460"/>
      <c r="D17" s="460"/>
    </row>
    <row r="18" spans="1:8" ht="19.5" customHeight="1">
      <c r="A18" s="460"/>
      <c r="B18" s="460"/>
      <c r="C18" s="460"/>
      <c r="D18" s="460"/>
      <c r="E18" s="460"/>
      <c r="F18" s="460"/>
      <c r="G18" s="460"/>
      <c r="H18" s="460"/>
    </row>
    <row r="19" spans="1:8" ht="19.5" customHeight="1">
      <c r="A19" s="460"/>
      <c r="B19" s="460"/>
      <c r="C19" s="460"/>
      <c r="D19" s="460"/>
      <c r="E19" s="460"/>
      <c r="F19" s="460"/>
      <c r="G19" s="460"/>
      <c r="H19" s="460"/>
    </row>
    <row r="20" spans="1:8" ht="19.5" customHeight="1">
      <c r="A20" s="460"/>
      <c r="B20" s="460"/>
      <c r="C20" s="460"/>
      <c r="D20" s="460"/>
      <c r="E20" s="460"/>
      <c r="F20" s="460"/>
      <c r="G20" s="460"/>
      <c r="H20" s="460"/>
    </row>
    <row r="21" spans="1:8" ht="21.75" customHeight="1">
      <c r="A21" s="460"/>
      <c r="B21" s="460"/>
      <c r="E21" s="460"/>
      <c r="F21" s="460"/>
      <c r="G21" s="460"/>
      <c r="H21" s="460"/>
    </row>
  </sheetData>
  <mergeCells count="3">
    <mergeCell ref="B2:G2"/>
    <mergeCell ref="H14:H15"/>
    <mergeCell ref="A15:A17"/>
  </mergeCells>
  <pageMargins left="0.74803149606299213" right="0.74803149606299213" top="0.98425196850393704" bottom="0.98425196850393704" header="0.51181102362204722" footer="0.51181102362204722"/>
  <pageSetup paperSize="9" scale="70"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34">
    <tabColor rgb="FF733E8D"/>
    <pageSetUpPr fitToPage="1"/>
  </sheetPr>
  <dimension ref="B2:O9"/>
  <sheetViews>
    <sheetView showGridLines="0" zoomScaleNormal="100" zoomScalePageLayoutView="110" workbookViewId="0">
      <selection activeCell="D16" sqref="D16"/>
    </sheetView>
  </sheetViews>
  <sheetFormatPr defaultColWidth="10.875" defaultRowHeight="20.100000000000001" customHeight="1"/>
  <cols>
    <col min="1" max="1" width="5.5" style="468" customWidth="1"/>
    <col min="2" max="2" width="38.625" style="468" customWidth="1"/>
    <col min="3" max="4" width="10.875" style="468" customWidth="1"/>
    <col min="5" max="16384" width="10.875" style="468"/>
  </cols>
  <sheetData>
    <row r="2" spans="2:15" ht="20.100000000000001" customHeight="1">
      <c r="B2" s="1165" t="str">
        <f>UPPER("Production")</f>
        <v>PRODUCTION</v>
      </c>
      <c r="C2" s="1165"/>
      <c r="D2" s="1165"/>
      <c r="E2" s="1165"/>
      <c r="F2" s="1165"/>
      <c r="G2" s="1165"/>
      <c r="H2" s="1165"/>
      <c r="I2" s="1165"/>
      <c r="J2" s="1165"/>
      <c r="K2" s="1165"/>
      <c r="L2" s="1165"/>
      <c r="M2" s="1165"/>
      <c r="N2" s="1165"/>
      <c r="O2" s="1165"/>
    </row>
    <row r="4" spans="2:15" ht="20.100000000000001" customHeight="1">
      <c r="B4" s="461"/>
      <c r="C4" s="593">
        <v>2017</v>
      </c>
      <c r="D4" s="593">
        <v>2016</v>
      </c>
      <c r="E4" s="592">
        <v>2015</v>
      </c>
      <c r="F4" s="592">
        <v>2014</v>
      </c>
      <c r="G4" s="461">
        <v>2013</v>
      </c>
      <c r="H4" s="461">
        <v>2012</v>
      </c>
      <c r="I4" s="461">
        <v>2011</v>
      </c>
      <c r="J4" s="461">
        <v>2010</v>
      </c>
    </row>
    <row r="5" spans="2:15" ht="20.100000000000001" customHeight="1">
      <c r="B5" s="363" t="s">
        <v>377</v>
      </c>
      <c r="C5" s="186">
        <v>1346</v>
      </c>
      <c r="D5" s="591">
        <v>1271</v>
      </c>
      <c r="E5" s="591">
        <v>1237</v>
      </c>
      <c r="F5" s="591">
        <v>1034</v>
      </c>
      <c r="G5" s="590">
        <v>1167</v>
      </c>
      <c r="H5" s="589">
        <v>1220</v>
      </c>
      <c r="I5" s="589">
        <v>1226</v>
      </c>
      <c r="J5" s="589">
        <v>1340</v>
      </c>
    </row>
    <row r="6" spans="2:15" ht="20.100000000000001" customHeight="1">
      <c r="B6" s="365" t="s">
        <v>376</v>
      </c>
      <c r="C6" s="188">
        <v>6662</v>
      </c>
      <c r="D6" s="126">
        <v>6447</v>
      </c>
      <c r="E6" s="126">
        <v>6054</v>
      </c>
      <c r="F6" s="126">
        <v>6063</v>
      </c>
      <c r="G6" s="359">
        <v>6184</v>
      </c>
      <c r="H6" s="367">
        <v>5880</v>
      </c>
      <c r="I6" s="367">
        <v>6098</v>
      </c>
      <c r="J6" s="367">
        <v>5648</v>
      </c>
    </row>
    <row r="7" spans="2:15" ht="20.100000000000001" customHeight="1">
      <c r="B7" s="588" t="s">
        <v>375</v>
      </c>
      <c r="C7" s="587">
        <v>2566</v>
      </c>
      <c r="D7" s="586">
        <v>2452</v>
      </c>
      <c r="E7" s="586">
        <v>2347</v>
      </c>
      <c r="F7" s="586">
        <v>2146</v>
      </c>
      <c r="G7" s="586">
        <v>2299</v>
      </c>
      <c r="H7" s="585">
        <v>2300</v>
      </c>
      <c r="I7" s="585">
        <v>2346</v>
      </c>
      <c r="J7" s="585">
        <v>2378</v>
      </c>
    </row>
    <row r="9" spans="2:15" ht="20.100000000000001" customHeight="1">
      <c r="B9" s="1188" t="s">
        <v>374</v>
      </c>
      <c r="C9" s="1188"/>
      <c r="D9" s="1188"/>
      <c r="E9" s="1188"/>
      <c r="F9" s="1188"/>
      <c r="G9" s="1188"/>
      <c r="H9" s="1188"/>
      <c r="I9" s="1188"/>
      <c r="J9" s="1188"/>
      <c r="K9" s="1188"/>
      <c r="L9" s="1188"/>
      <c r="M9" s="1188"/>
      <c r="N9" s="1188"/>
      <c r="O9" s="1188"/>
    </row>
  </sheetData>
  <mergeCells count="2">
    <mergeCell ref="B2:O2"/>
    <mergeCell ref="B9:O9"/>
  </mergeCells>
  <pageMargins left="0.74803149606299213" right="0.74803149606299213" top="0.98425196850393704" bottom="0.98425196850393704" header="0.51181102362204722" footer="0.51181102362204722"/>
  <pageSetup paperSize="9" scale="60" orientation="landscape" horizontalDpi="4294967292" verticalDpi="4294967292"/>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35">
    <tabColor rgb="FF733E8D"/>
    <pageSetUpPr fitToPage="1"/>
  </sheetPr>
  <dimension ref="A1:O13"/>
  <sheetViews>
    <sheetView showGridLines="0" zoomScaleNormal="100" zoomScalePageLayoutView="115" workbookViewId="0">
      <selection activeCell="B15" sqref="B15"/>
    </sheetView>
  </sheetViews>
  <sheetFormatPr defaultColWidth="10.875" defaultRowHeight="20.100000000000001" customHeight="1"/>
  <cols>
    <col min="1" max="1" width="5.5" style="468" customWidth="1"/>
    <col min="2" max="2" width="39.375" style="468" customWidth="1"/>
    <col min="3" max="4" width="10.875" style="468" customWidth="1"/>
    <col min="5" max="16384" width="10.875" style="468"/>
  </cols>
  <sheetData>
    <row r="1" spans="1:15" ht="20.100000000000001" customHeight="1">
      <c r="A1" s="470"/>
      <c r="B1" s="470"/>
      <c r="C1" s="470"/>
      <c r="D1" s="470"/>
      <c r="E1" s="470"/>
      <c r="F1" s="470"/>
      <c r="G1" s="470"/>
      <c r="H1" s="470"/>
      <c r="I1" s="470"/>
    </row>
    <row r="2" spans="1:15" ht="20.100000000000001" customHeight="1">
      <c r="A2" s="470"/>
      <c r="B2" s="1156" t="s">
        <v>383</v>
      </c>
      <c r="C2" s="1156"/>
      <c r="D2" s="1156"/>
      <c r="E2" s="1156"/>
      <c r="F2" s="1156"/>
      <c r="G2" s="1156"/>
      <c r="H2" s="1156"/>
      <c r="I2" s="1156"/>
      <c r="J2" s="1156"/>
      <c r="K2" s="1156"/>
      <c r="L2" s="1156"/>
      <c r="M2" s="1156"/>
      <c r="N2" s="1156"/>
      <c r="O2" s="1156"/>
    </row>
    <row r="3" spans="1:15" ht="20.100000000000001" customHeight="1">
      <c r="A3" s="470"/>
      <c r="B3" s="470"/>
      <c r="C3" s="470"/>
      <c r="D3" s="470"/>
      <c r="E3" s="470"/>
      <c r="F3" s="470"/>
      <c r="G3" s="470"/>
      <c r="H3" s="470"/>
      <c r="I3" s="470"/>
    </row>
    <row r="4" spans="1:15" ht="20.100000000000001" customHeight="1">
      <c r="A4" s="470"/>
      <c r="B4" s="461"/>
      <c r="C4" s="592">
        <v>2017</v>
      </c>
      <c r="D4" s="592">
        <v>2016</v>
      </c>
      <c r="E4" s="592">
        <v>2015</v>
      </c>
      <c r="F4" s="592">
        <v>2014</v>
      </c>
      <c r="G4" s="461">
        <v>2013</v>
      </c>
      <c r="H4" s="461">
        <v>2012</v>
      </c>
      <c r="I4" s="461">
        <v>2011</v>
      </c>
      <c r="J4" s="461">
        <v>2010</v>
      </c>
    </row>
    <row r="5" spans="1:15" ht="20.100000000000001" customHeight="1">
      <c r="A5" s="470"/>
      <c r="B5" s="363" t="s">
        <v>382</v>
      </c>
      <c r="C5" s="186">
        <v>5450</v>
      </c>
      <c r="D5" s="591">
        <v>5414</v>
      </c>
      <c r="E5" s="591">
        <v>5605</v>
      </c>
      <c r="F5" s="591">
        <v>5303</v>
      </c>
      <c r="G5" s="590">
        <v>5413</v>
      </c>
      <c r="H5" s="589">
        <v>5686</v>
      </c>
      <c r="I5" s="589">
        <v>5784</v>
      </c>
      <c r="J5" s="589">
        <v>5987</v>
      </c>
    </row>
    <row r="6" spans="1:15" ht="20.100000000000001" customHeight="1">
      <c r="A6" s="470"/>
      <c r="B6" s="365" t="s">
        <v>381</v>
      </c>
      <c r="C6" s="188">
        <v>32506</v>
      </c>
      <c r="D6" s="126">
        <v>32984</v>
      </c>
      <c r="E6" s="126">
        <v>32206</v>
      </c>
      <c r="F6" s="126">
        <v>33590</v>
      </c>
      <c r="G6" s="359">
        <v>33026</v>
      </c>
      <c r="H6" s="367">
        <v>30877</v>
      </c>
      <c r="I6" s="367">
        <v>30717</v>
      </c>
      <c r="J6" s="367">
        <v>25788</v>
      </c>
    </row>
    <row r="7" spans="1:15" ht="20.100000000000001" customHeight="1">
      <c r="A7" s="470"/>
      <c r="B7" s="595" t="s">
        <v>380</v>
      </c>
      <c r="C7" s="586">
        <v>11475</v>
      </c>
      <c r="D7" s="586">
        <v>11518</v>
      </c>
      <c r="E7" s="586">
        <v>11580</v>
      </c>
      <c r="F7" s="586">
        <v>11523</v>
      </c>
      <c r="G7" s="586">
        <v>11526</v>
      </c>
      <c r="H7" s="585">
        <v>11368</v>
      </c>
      <c r="I7" s="585">
        <v>11423</v>
      </c>
      <c r="J7" s="585">
        <v>10695</v>
      </c>
    </row>
    <row r="8" spans="1:15" ht="20.100000000000001" customHeight="1">
      <c r="A8" s="470"/>
      <c r="B8" s="470"/>
      <c r="C8" s="470"/>
      <c r="D8" s="470"/>
      <c r="E8" s="470"/>
      <c r="F8" s="470"/>
      <c r="G8" s="470"/>
      <c r="H8" s="470"/>
      <c r="I8" s="470"/>
    </row>
    <row r="9" spans="1:15" ht="13.5" customHeight="1">
      <c r="A9" s="470"/>
      <c r="B9" s="1189" t="s">
        <v>379</v>
      </c>
      <c r="C9" s="1189"/>
      <c r="D9" s="1188"/>
      <c r="E9" s="1188"/>
      <c r="F9" s="1188"/>
      <c r="G9" s="1188"/>
      <c r="H9" s="1188"/>
      <c r="I9" s="1188"/>
      <c r="J9" s="1188"/>
      <c r="K9" s="1188"/>
      <c r="L9" s="1188"/>
      <c r="M9" s="1188"/>
      <c r="N9" s="1188"/>
      <c r="O9" s="1188"/>
    </row>
    <row r="10" spans="1:15" ht="20.100000000000001" customHeight="1">
      <c r="A10" s="470"/>
      <c r="B10" s="1188" t="s">
        <v>378</v>
      </c>
      <c r="C10" s="1188"/>
      <c r="D10" s="1188"/>
      <c r="E10" s="1188"/>
      <c r="F10" s="1188"/>
      <c r="G10" s="1188"/>
      <c r="H10" s="1188"/>
      <c r="I10" s="1188"/>
      <c r="J10" s="1188"/>
      <c r="K10" s="1188"/>
      <c r="L10" s="1188"/>
      <c r="M10" s="1188"/>
      <c r="N10" s="1188"/>
      <c r="O10" s="1188"/>
    </row>
    <row r="11" spans="1:15" ht="30.75" customHeight="1">
      <c r="B11" s="1190"/>
      <c r="C11" s="1190"/>
      <c r="D11" s="1190"/>
      <c r="E11" s="1190"/>
      <c r="F11" s="1190"/>
      <c r="G11" s="1190"/>
      <c r="H11" s="1190"/>
      <c r="I11" s="594"/>
      <c r="J11" s="594"/>
      <c r="K11" s="594"/>
      <c r="L11" s="594"/>
      <c r="M11" s="594"/>
      <c r="N11" s="594"/>
      <c r="O11" s="594"/>
    </row>
    <row r="13" spans="1:15" ht="20.100000000000001" customHeight="1">
      <c r="B13" s="1156"/>
      <c r="C13" s="1156"/>
      <c r="D13" s="1156"/>
      <c r="E13" s="1156"/>
      <c r="F13" s="1156"/>
      <c r="G13" s="1156"/>
      <c r="H13" s="1156"/>
      <c r="I13" s="1156"/>
      <c r="J13" s="1156"/>
      <c r="K13" s="1156"/>
      <c r="L13" s="1156"/>
      <c r="M13" s="1156"/>
      <c r="N13" s="1156"/>
      <c r="O13" s="1156"/>
    </row>
  </sheetData>
  <mergeCells count="5">
    <mergeCell ref="B2:O2"/>
    <mergeCell ref="B9:O9"/>
    <mergeCell ref="B10:O10"/>
    <mergeCell ref="B11:H11"/>
    <mergeCell ref="B13:O13"/>
  </mergeCells>
  <pageMargins left="0.74803149606299213" right="0.74803149606299213" top="0.98425196850393704" bottom="0.98425196850393704" header="0.51181102362204722" footer="0.51181102362204722"/>
  <pageSetup paperSize="9" scale="64" orientation="landscape" horizontalDpi="4294967292" verticalDpi="4294967292"/>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36">
    <tabColor rgb="FF733E8D"/>
    <pageSetUpPr fitToPage="1"/>
  </sheetPr>
  <dimension ref="B2:O18"/>
  <sheetViews>
    <sheetView showGridLines="0" view="pageLayout" zoomScaleNormal="120" workbookViewId="0">
      <selection activeCell="B15" sqref="B15:O15"/>
    </sheetView>
  </sheetViews>
  <sheetFormatPr defaultColWidth="10.875" defaultRowHeight="20.100000000000001" customHeight="1"/>
  <cols>
    <col min="1" max="1" width="5.5" style="468" customWidth="1"/>
    <col min="2" max="2" width="39.375" style="468" customWidth="1"/>
    <col min="3" max="4" width="10.875" style="468" customWidth="1"/>
    <col min="5" max="16384" width="10.875" style="468"/>
  </cols>
  <sheetData>
    <row r="2" spans="2:15" ht="20.100000000000001" customHeight="1">
      <c r="B2" s="1156" t="s">
        <v>406</v>
      </c>
      <c r="C2" s="1156"/>
      <c r="D2" s="1156"/>
      <c r="E2" s="1156"/>
      <c r="F2" s="1156"/>
      <c r="G2" s="1156"/>
      <c r="H2" s="1156"/>
      <c r="I2" s="1156"/>
      <c r="J2" s="1156"/>
      <c r="K2" s="1156"/>
      <c r="L2" s="1156"/>
      <c r="M2" s="1156"/>
      <c r="N2" s="1156"/>
      <c r="O2" s="1156"/>
    </row>
    <row r="4" spans="2:15" ht="20.100000000000001" customHeight="1">
      <c r="B4" s="220" t="s">
        <v>405</v>
      </c>
      <c r="C4" s="221" t="s">
        <v>404</v>
      </c>
      <c r="D4" s="461" t="s">
        <v>403</v>
      </c>
      <c r="E4" s="461" t="s">
        <v>402</v>
      </c>
      <c r="F4" s="461" t="s">
        <v>401</v>
      </c>
      <c r="G4" s="461" t="s">
        <v>400</v>
      </c>
      <c r="H4" s="461" t="s">
        <v>399</v>
      </c>
      <c r="I4" s="461" t="s">
        <v>398</v>
      </c>
      <c r="J4" s="461" t="s">
        <v>397</v>
      </c>
    </row>
    <row r="5" spans="2:15" ht="20.100000000000001" customHeight="1">
      <c r="B5" s="15" t="s">
        <v>396</v>
      </c>
      <c r="C5" s="604">
        <v>2.6</v>
      </c>
      <c r="D5" s="605">
        <v>3.1685513941139178</v>
      </c>
      <c r="E5" s="605">
        <v>4.2</v>
      </c>
      <c r="F5" s="605">
        <v>5.5</v>
      </c>
      <c r="G5" s="605">
        <v>7.9</v>
      </c>
      <c r="H5" s="605">
        <v>8.1</v>
      </c>
      <c r="I5" s="605">
        <v>6.6</v>
      </c>
      <c r="J5" s="605">
        <v>3.6</v>
      </c>
    </row>
    <row r="6" spans="2:15" ht="20.100000000000001" customHeight="1">
      <c r="B6" s="15" t="s">
        <v>395</v>
      </c>
      <c r="C6" s="604">
        <v>16.600000000000001</v>
      </c>
      <c r="D6" s="603">
        <v>20.570828378666018</v>
      </c>
      <c r="E6" s="603">
        <v>23.2</v>
      </c>
      <c r="F6" s="603">
        <v>24.843949925380127</v>
      </c>
      <c r="G6" s="603">
        <v>21.367852100553829</v>
      </c>
      <c r="H6" s="603">
        <v>17.867379707034139</v>
      </c>
      <c r="I6" s="603">
        <v>16.064133838462574</v>
      </c>
      <c r="J6" s="603">
        <v>15.4</v>
      </c>
    </row>
    <row r="7" spans="2:15" ht="20.100000000000001" customHeight="1">
      <c r="B7" s="15" t="s">
        <v>394</v>
      </c>
      <c r="C7" s="190">
        <v>98</v>
      </c>
      <c r="D7" s="602">
        <v>99.707691476082559</v>
      </c>
      <c r="E7" s="602">
        <v>109</v>
      </c>
      <c r="F7" s="602">
        <v>104</v>
      </c>
      <c r="G7" s="602">
        <v>133</v>
      </c>
      <c r="H7" s="602">
        <v>134</v>
      </c>
      <c r="I7" s="602">
        <v>138</v>
      </c>
      <c r="J7" s="602">
        <v>110</v>
      </c>
      <c r="K7" s="55"/>
    </row>
    <row r="8" spans="2:15" ht="20.100000000000001" customHeight="1">
      <c r="B8" s="601" t="s">
        <v>393</v>
      </c>
      <c r="C8" s="600">
        <v>100</v>
      </c>
      <c r="D8" s="599">
        <v>105.54864326125669</v>
      </c>
      <c r="E8" s="599">
        <v>121</v>
      </c>
      <c r="F8" s="599">
        <v>107</v>
      </c>
      <c r="G8" s="599">
        <v>89</v>
      </c>
      <c r="H8" s="599">
        <v>79</v>
      </c>
      <c r="I8" s="599">
        <v>80</v>
      </c>
      <c r="J8" s="599">
        <v>96</v>
      </c>
      <c r="K8" s="55"/>
    </row>
    <row r="9" spans="2:15" ht="20.100000000000001" customHeight="1">
      <c r="C9" s="52"/>
    </row>
    <row r="10" spans="2:15" ht="20.100000000000001" customHeight="1">
      <c r="B10" s="220" t="s">
        <v>392</v>
      </c>
      <c r="C10" s="221">
        <v>2017</v>
      </c>
      <c r="D10" s="461">
        <v>2016</v>
      </c>
      <c r="E10" s="461">
        <v>2015</v>
      </c>
      <c r="F10" s="461">
        <v>2014</v>
      </c>
      <c r="G10" s="461">
        <v>2013</v>
      </c>
      <c r="H10" s="461">
        <v>2012</v>
      </c>
      <c r="I10" s="461">
        <v>2011</v>
      </c>
      <c r="J10" s="461">
        <v>2010</v>
      </c>
    </row>
    <row r="11" spans="2:15" ht="20.100000000000001" customHeight="1">
      <c r="B11" s="598" t="s">
        <v>391</v>
      </c>
      <c r="C11" s="597">
        <v>12.3</v>
      </c>
      <c r="D11" s="596">
        <v>12.833689500916476</v>
      </c>
      <c r="E11" s="596" t="s">
        <v>390</v>
      </c>
      <c r="F11" s="596">
        <v>14.7</v>
      </c>
      <c r="G11" s="596">
        <v>13.7</v>
      </c>
      <c r="H11" s="596">
        <v>13.5</v>
      </c>
      <c r="I11" s="596">
        <v>13.3</v>
      </c>
      <c r="J11" s="596">
        <v>12.3</v>
      </c>
    </row>
    <row r="13" spans="2:15" ht="12.95" customHeight="1">
      <c r="B13" s="1189" t="s">
        <v>389</v>
      </c>
      <c r="C13" s="1188"/>
      <c r="D13" s="1188"/>
      <c r="E13" s="1188"/>
      <c r="F13" s="1188"/>
      <c r="G13" s="1188"/>
      <c r="H13" s="1188"/>
      <c r="I13" s="1188"/>
      <c r="J13" s="1188"/>
      <c r="K13" s="1188"/>
      <c r="L13" s="1188"/>
      <c r="M13" s="1188"/>
      <c r="N13" s="1188"/>
      <c r="O13" s="1188"/>
    </row>
    <row r="14" spans="2:15" ht="12.95" customHeight="1">
      <c r="B14" s="1188" t="s">
        <v>388</v>
      </c>
      <c r="C14" s="1188"/>
      <c r="D14" s="1188"/>
      <c r="E14" s="1188"/>
      <c r="F14" s="1188"/>
      <c r="G14" s="1188"/>
      <c r="H14" s="1188"/>
      <c r="I14" s="1188"/>
      <c r="J14" s="1188"/>
      <c r="K14" s="1188"/>
      <c r="L14" s="1188"/>
      <c r="M14" s="1188"/>
      <c r="N14" s="1188"/>
      <c r="O14" s="1188"/>
    </row>
    <row r="15" spans="2:15" ht="12.95" customHeight="1">
      <c r="B15" s="1188" t="s">
        <v>387</v>
      </c>
      <c r="C15" s="1188"/>
      <c r="D15" s="1188"/>
      <c r="E15" s="1188"/>
      <c r="F15" s="1188"/>
      <c r="G15" s="1188"/>
      <c r="H15" s="1188"/>
      <c r="I15" s="1188"/>
      <c r="J15" s="1188"/>
      <c r="K15" s="1188"/>
      <c r="L15" s="1188"/>
      <c r="M15" s="1188"/>
      <c r="N15" s="1188"/>
      <c r="O15" s="1188"/>
    </row>
    <row r="16" spans="2:15" ht="12.95" customHeight="1">
      <c r="B16" s="1188" t="s">
        <v>386</v>
      </c>
      <c r="C16" s="1188"/>
      <c r="D16" s="1188"/>
      <c r="E16" s="1188"/>
      <c r="F16" s="1188"/>
      <c r="G16" s="1188"/>
      <c r="H16" s="1188"/>
      <c r="I16" s="1188"/>
      <c r="J16" s="1188"/>
      <c r="K16" s="1188"/>
      <c r="L16" s="1188"/>
      <c r="M16" s="1188"/>
      <c r="N16" s="1188"/>
      <c r="O16" s="1188"/>
    </row>
    <row r="17" spans="2:15" ht="12" customHeight="1">
      <c r="B17" s="1188" t="s">
        <v>385</v>
      </c>
      <c r="C17" s="1188"/>
      <c r="D17" s="1188"/>
      <c r="E17" s="1188"/>
      <c r="F17" s="1188"/>
      <c r="G17" s="1188"/>
      <c r="H17" s="1188"/>
      <c r="I17" s="1188"/>
      <c r="J17" s="1188"/>
      <c r="K17" s="1188"/>
      <c r="L17" s="1188"/>
      <c r="M17" s="1188"/>
      <c r="N17" s="1188"/>
      <c r="O17" s="1188"/>
    </row>
    <row r="18" spans="2:15" ht="20.100000000000001" customHeight="1">
      <c r="B18" s="1188" t="s">
        <v>384</v>
      </c>
      <c r="C18" s="1188"/>
      <c r="D18" s="1188"/>
      <c r="E18" s="1188"/>
      <c r="F18" s="1188"/>
      <c r="G18" s="1188"/>
      <c r="H18" s="1188"/>
      <c r="I18" s="1188"/>
      <c r="J18" s="1188"/>
      <c r="K18" s="1188"/>
      <c r="L18" s="1188"/>
      <c r="M18" s="1188"/>
      <c r="N18" s="1188"/>
      <c r="O18" s="1188"/>
    </row>
  </sheetData>
  <mergeCells count="7">
    <mergeCell ref="B18:O18"/>
    <mergeCell ref="B2:O2"/>
    <mergeCell ref="B13:O13"/>
    <mergeCell ref="B14:O14"/>
    <mergeCell ref="B15:O15"/>
    <mergeCell ref="B16:O16"/>
    <mergeCell ref="B17:O17"/>
  </mergeCells>
  <phoneticPr fontId="84" type="noConversion"/>
  <pageMargins left="0.74803149606299213" right="0.74803149606299213" top="0.51111111111111107" bottom="0.98425196850393704" header="0.51181102362204722" footer="0.51181102362204722"/>
  <pageSetup paperSize="9" scale="65" orientation="landscape" r:id="rId1"/>
  <drawing r:id="rId2"/>
  <extLst>
    <ext xmlns:mx="http://schemas.microsoft.com/office/mac/excel/2008/main" uri="{64002731-A6B0-56B0-2670-7721B7C09600}">
      <mx:PLV Mode="1" OnePage="0" WScale="10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37">
    <tabColor rgb="FF733E8D"/>
    <pageSetUpPr fitToPage="1"/>
  </sheetPr>
  <dimension ref="B2:O18"/>
  <sheetViews>
    <sheetView showGridLines="0" zoomScaleNormal="100" zoomScalePageLayoutView="85" workbookViewId="0"/>
  </sheetViews>
  <sheetFormatPr defaultColWidth="10.875" defaultRowHeight="20.100000000000001" customHeight="1"/>
  <cols>
    <col min="1" max="1" width="5.5" style="468" customWidth="1"/>
    <col min="2" max="2" width="39.375" style="468" customWidth="1"/>
    <col min="3" max="4" width="10.875" style="468" customWidth="1"/>
    <col min="5" max="16384" width="10.875" style="468"/>
  </cols>
  <sheetData>
    <row r="2" spans="2:15" ht="20.100000000000001" customHeight="1">
      <c r="B2" s="1191" t="str">
        <f>UPPER("Key operating ratios ON PROVED RESERVES - consolidated subsidiaries ")</f>
        <v xml:space="preserve">KEY OPERATING RATIOS ON PROVED RESERVES - CONSOLIDATED SUBSIDIARIES </v>
      </c>
      <c r="C2" s="1191"/>
      <c r="D2" s="1191"/>
      <c r="E2" s="1191"/>
      <c r="F2" s="1191"/>
      <c r="G2" s="1191"/>
      <c r="H2" s="1191"/>
      <c r="I2" s="1191"/>
      <c r="J2" s="1191"/>
      <c r="K2" s="1191"/>
      <c r="L2" s="1191"/>
      <c r="M2" s="1191"/>
      <c r="N2" s="1191"/>
      <c r="O2" s="1191"/>
    </row>
    <row r="4" spans="2:15" ht="20.100000000000001" customHeight="1">
      <c r="B4" s="220" t="s">
        <v>413</v>
      </c>
      <c r="C4" s="221" t="s">
        <v>404</v>
      </c>
      <c r="D4" s="221" t="s">
        <v>403</v>
      </c>
      <c r="E4" s="461" t="s">
        <v>402</v>
      </c>
      <c r="F4" s="461" t="s">
        <v>401</v>
      </c>
      <c r="G4" s="461" t="s">
        <v>400</v>
      </c>
      <c r="H4" s="461" t="s">
        <v>399</v>
      </c>
      <c r="I4" s="461" t="s">
        <v>398</v>
      </c>
      <c r="J4" s="461" t="s">
        <v>397</v>
      </c>
    </row>
    <row r="5" spans="2:15" ht="20.100000000000001" customHeight="1">
      <c r="B5" s="637" t="s">
        <v>415</v>
      </c>
      <c r="C5" s="636">
        <v>3.4</v>
      </c>
      <c r="D5" s="635">
        <v>4.9000000000000004</v>
      </c>
      <c r="E5" s="634">
        <v>6.5</v>
      </c>
      <c r="F5" s="634">
        <v>10.3</v>
      </c>
      <c r="G5" s="633">
        <v>10.3</v>
      </c>
      <c r="H5" s="632">
        <v>8</v>
      </c>
      <c r="I5" s="631">
        <v>6.3</v>
      </c>
      <c r="J5" s="631">
        <v>3.9</v>
      </c>
    </row>
    <row r="6" spans="2:15" ht="20.100000000000001" customHeight="1">
      <c r="B6" s="630" t="s">
        <v>414</v>
      </c>
      <c r="C6" s="629">
        <v>22.1</v>
      </c>
      <c r="D6" s="628">
        <v>33.299999999999997</v>
      </c>
      <c r="E6" s="627">
        <v>36.5</v>
      </c>
      <c r="F6" s="627">
        <v>47.445090936171148</v>
      </c>
      <c r="G6" s="627">
        <v>34.261098773504223</v>
      </c>
      <c r="H6" s="626">
        <v>21.633783861855047</v>
      </c>
      <c r="I6" s="625">
        <v>18.401837273946231</v>
      </c>
      <c r="J6" s="625">
        <v>15.6</v>
      </c>
    </row>
    <row r="7" spans="2:15" ht="20.100000000000001" customHeight="1">
      <c r="C7" s="52"/>
    </row>
    <row r="8" spans="2:15" ht="20.100000000000001" customHeight="1">
      <c r="B8" s="220" t="s">
        <v>413</v>
      </c>
      <c r="C8" s="221">
        <v>2017</v>
      </c>
      <c r="D8" s="592">
        <v>2016</v>
      </c>
      <c r="E8" s="592">
        <v>2015</v>
      </c>
      <c r="F8" s="592">
        <v>2014</v>
      </c>
      <c r="G8" s="592">
        <v>2013</v>
      </c>
      <c r="H8" s="461">
        <v>2012</v>
      </c>
      <c r="I8" s="461">
        <v>2011</v>
      </c>
      <c r="J8" s="461">
        <v>2010</v>
      </c>
    </row>
    <row r="9" spans="2:15" ht="20.100000000000001" customHeight="1">
      <c r="B9" s="363" t="s">
        <v>412</v>
      </c>
      <c r="C9" s="624">
        <v>5.4</v>
      </c>
      <c r="D9" s="623">
        <v>5.9</v>
      </c>
      <c r="E9" s="622">
        <v>7.4</v>
      </c>
      <c r="F9" s="622">
        <v>9.9</v>
      </c>
      <c r="G9" s="621">
        <v>8.9</v>
      </c>
      <c r="H9" s="620">
        <v>7.9</v>
      </c>
      <c r="I9" s="620">
        <v>7</v>
      </c>
      <c r="J9" s="620">
        <v>6.1</v>
      </c>
    </row>
    <row r="10" spans="2:15" ht="20.100000000000001" customHeight="1">
      <c r="B10" s="363" t="s">
        <v>24</v>
      </c>
      <c r="C10" s="619">
        <v>1.2</v>
      </c>
      <c r="D10" s="124">
        <v>1.4</v>
      </c>
      <c r="E10" s="618">
        <v>2.4</v>
      </c>
      <c r="F10" s="618">
        <v>3.4</v>
      </c>
      <c r="G10" s="617">
        <v>3.7</v>
      </c>
      <c r="H10" s="616">
        <v>3</v>
      </c>
      <c r="I10" s="616">
        <v>2.2000000000000002</v>
      </c>
      <c r="J10" s="616">
        <v>1.6</v>
      </c>
    </row>
    <row r="11" spans="2:15" ht="20.100000000000001" customHeight="1">
      <c r="B11" s="365" t="s">
        <v>411</v>
      </c>
      <c r="C11" s="615">
        <v>12.8</v>
      </c>
      <c r="D11" s="614">
        <v>13.1</v>
      </c>
      <c r="E11" s="613">
        <v>13.2</v>
      </c>
      <c r="F11" s="613">
        <v>15</v>
      </c>
      <c r="G11" s="612">
        <v>13.5</v>
      </c>
      <c r="H11" s="611">
        <v>11.9</v>
      </c>
      <c r="I11" s="611">
        <v>9.6999999999999993</v>
      </c>
      <c r="J11" s="611">
        <v>8.9</v>
      </c>
    </row>
    <row r="12" spans="2:15" ht="20.100000000000001" customHeight="1">
      <c r="B12" s="610" t="s">
        <v>410</v>
      </c>
      <c r="C12" s="609">
        <v>19.399999999999999</v>
      </c>
      <c r="D12" s="608">
        <v>20.399999999999999</v>
      </c>
      <c r="E12" s="607">
        <v>23</v>
      </c>
      <c r="F12" s="607">
        <v>28.3</v>
      </c>
      <c r="G12" s="606">
        <v>26.1</v>
      </c>
      <c r="H12" s="606">
        <v>22.8</v>
      </c>
      <c r="I12" s="606">
        <v>18.899999999999999</v>
      </c>
      <c r="J12" s="606">
        <v>16.600000000000001</v>
      </c>
    </row>
    <row r="14" spans="2:15" ht="13.5" customHeight="1">
      <c r="B14" s="1188" t="s">
        <v>409</v>
      </c>
      <c r="C14" s="1188"/>
      <c r="D14" s="1188"/>
      <c r="E14" s="1188"/>
      <c r="F14" s="1188"/>
      <c r="G14" s="1188"/>
      <c r="H14" s="1188"/>
      <c r="I14" s="1188"/>
      <c r="J14" s="1188"/>
      <c r="K14" s="1188"/>
      <c r="L14" s="1188"/>
      <c r="M14" s="1188"/>
      <c r="N14" s="1188"/>
      <c r="O14" s="1188"/>
    </row>
    <row r="15" spans="2:15" ht="14.1" customHeight="1">
      <c r="B15" s="1188" t="s">
        <v>388</v>
      </c>
      <c r="C15" s="1188"/>
      <c r="D15" s="1188"/>
      <c r="E15" s="1188"/>
      <c r="F15" s="1188"/>
      <c r="G15" s="1188"/>
      <c r="H15" s="1188"/>
      <c r="I15" s="1188"/>
      <c r="J15" s="1188"/>
      <c r="K15" s="1188"/>
      <c r="L15" s="1188"/>
      <c r="M15" s="1188"/>
      <c r="N15" s="1188"/>
      <c r="O15" s="1188"/>
    </row>
    <row r="16" spans="2:15" ht="12.95" customHeight="1">
      <c r="B16" s="1188" t="s">
        <v>408</v>
      </c>
      <c r="C16" s="1188"/>
      <c r="D16" s="1188"/>
      <c r="E16" s="1188"/>
      <c r="F16" s="1188"/>
      <c r="G16" s="1188"/>
      <c r="H16" s="1188"/>
      <c r="I16" s="1188"/>
      <c r="J16" s="1188"/>
      <c r="K16" s="1188"/>
      <c r="L16" s="1188"/>
      <c r="M16" s="1188"/>
      <c r="N16" s="1188"/>
      <c r="O16" s="1188"/>
    </row>
    <row r="17" spans="2:15" ht="20.100000000000001" customHeight="1">
      <c r="B17" s="1188" t="s">
        <v>407</v>
      </c>
      <c r="C17" s="1188"/>
      <c r="D17" s="1188"/>
      <c r="E17" s="1188"/>
      <c r="F17" s="1188"/>
      <c r="G17" s="1188"/>
      <c r="H17" s="1188"/>
      <c r="I17" s="1188"/>
      <c r="J17" s="1188"/>
      <c r="K17" s="1188"/>
      <c r="L17" s="1188"/>
      <c r="M17" s="1188"/>
      <c r="N17" s="1188"/>
      <c r="O17" s="1188"/>
    </row>
    <row r="18" spans="2:15" ht="20.100000000000001" customHeight="1">
      <c r="B18" s="1156"/>
      <c r="C18" s="1156"/>
      <c r="D18" s="1156"/>
      <c r="E18" s="1156"/>
      <c r="F18" s="1156"/>
      <c r="G18" s="1156"/>
      <c r="H18" s="1156"/>
      <c r="I18" s="1156"/>
      <c r="J18" s="1156"/>
      <c r="K18" s="1156"/>
      <c r="L18" s="1156"/>
      <c r="M18" s="1156"/>
      <c r="N18" s="1156"/>
      <c r="O18" s="1156"/>
    </row>
  </sheetData>
  <mergeCells count="6">
    <mergeCell ref="B18:O18"/>
    <mergeCell ref="B2:O2"/>
    <mergeCell ref="B14:O14"/>
    <mergeCell ref="B15:O15"/>
    <mergeCell ref="B16:O16"/>
    <mergeCell ref="B17:O17"/>
  </mergeCells>
  <pageMargins left="0.74803149606299213" right="0.74803149606299213" top="0.98425196850393704" bottom="0.98425196850393704" header="0.51181102362204722" footer="0.51181102362204722"/>
  <pageSetup paperSize="9" scale="64" orientation="landscape"/>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38">
    <tabColor rgb="FF733E8D"/>
    <pageSetUpPr fitToPage="1"/>
  </sheetPr>
  <dimension ref="B2:H56"/>
  <sheetViews>
    <sheetView showGridLines="0" zoomScaleNormal="100" zoomScalePageLayoutView="90" workbookViewId="0">
      <selection activeCell="A51" sqref="A51:XFD51"/>
    </sheetView>
  </sheetViews>
  <sheetFormatPr defaultColWidth="10.875" defaultRowHeight="20.100000000000001" customHeight="1"/>
  <cols>
    <col min="1" max="1" width="5.5" style="468" customWidth="1"/>
    <col min="2" max="2" width="39.375" style="468" customWidth="1"/>
    <col min="3" max="4" width="10.875" style="468" customWidth="1"/>
    <col min="5" max="16384" width="10.875" style="468"/>
  </cols>
  <sheetData>
    <row r="2" spans="2:8" ht="20.100000000000001" customHeight="1">
      <c r="B2" s="1156" t="s">
        <v>460</v>
      </c>
      <c r="C2" s="1156"/>
      <c r="D2" s="1156"/>
      <c r="E2" s="1156"/>
      <c r="F2" s="1156"/>
      <c r="G2" s="1156"/>
      <c r="H2" s="1156"/>
    </row>
    <row r="4" spans="2:8" ht="20.100000000000001" customHeight="1">
      <c r="B4" s="220" t="s">
        <v>459</v>
      </c>
      <c r="C4" s="592">
        <v>2017</v>
      </c>
      <c r="D4" s="592">
        <v>2016</v>
      </c>
      <c r="E4" s="592">
        <v>2015</v>
      </c>
      <c r="F4" s="592">
        <v>2014</v>
      </c>
      <c r="G4" s="461">
        <v>2013</v>
      </c>
      <c r="H4" s="461">
        <v>2012</v>
      </c>
    </row>
    <row r="5" spans="2:8" ht="20.100000000000001" customHeight="1">
      <c r="B5" s="431" t="s">
        <v>458</v>
      </c>
      <c r="C5" s="432">
        <v>761</v>
      </c>
      <c r="D5" s="432">
        <v>757</v>
      </c>
      <c r="E5" s="432">
        <v>664</v>
      </c>
      <c r="F5" s="432">
        <v>613</v>
      </c>
      <c r="G5" s="432">
        <v>619</v>
      </c>
      <c r="H5" s="432">
        <f>SUM(H6:H13)</f>
        <v>622</v>
      </c>
    </row>
    <row r="6" spans="2:8" ht="20.100000000000001" customHeight="1">
      <c r="B6" s="363" t="s">
        <v>457</v>
      </c>
      <c r="C6" s="186" t="s">
        <v>14</v>
      </c>
      <c r="D6" s="351" t="s">
        <v>14</v>
      </c>
      <c r="E6" s="351" t="s">
        <v>14</v>
      </c>
      <c r="F6" s="351">
        <v>14</v>
      </c>
      <c r="G6" s="358">
        <v>20</v>
      </c>
      <c r="H6" s="358">
        <v>16</v>
      </c>
    </row>
    <row r="7" spans="2:8" ht="20.100000000000001" customHeight="1">
      <c r="B7" s="363" t="s">
        <v>40</v>
      </c>
      <c r="C7" s="186" t="s">
        <v>14</v>
      </c>
      <c r="D7" s="351" t="s">
        <v>14</v>
      </c>
      <c r="E7" s="351" t="s">
        <v>14</v>
      </c>
      <c r="F7" s="351">
        <v>2</v>
      </c>
      <c r="G7" s="358">
        <v>9</v>
      </c>
      <c r="H7" s="358">
        <v>13</v>
      </c>
    </row>
    <row r="8" spans="2:8" ht="20.100000000000001" customHeight="1">
      <c r="B8" s="363" t="s">
        <v>456</v>
      </c>
      <c r="C8" s="186" t="s">
        <v>14</v>
      </c>
      <c r="D8" s="351" t="s">
        <v>14</v>
      </c>
      <c r="E8" s="351" t="s">
        <v>14</v>
      </c>
      <c r="F8" s="351" t="s">
        <v>14</v>
      </c>
      <c r="G8" s="358" t="s">
        <v>14</v>
      </c>
      <c r="H8" s="358" t="s">
        <v>14</v>
      </c>
    </row>
    <row r="9" spans="2:8" ht="20.100000000000001" customHeight="1">
      <c r="B9" s="363" t="s">
        <v>455</v>
      </c>
      <c r="C9" s="186">
        <v>42</v>
      </c>
      <c r="D9" s="351">
        <v>4</v>
      </c>
      <c r="E9" s="351" t="s">
        <v>14</v>
      </c>
      <c r="F9" s="351" t="s">
        <v>14</v>
      </c>
      <c r="G9" s="358" t="s">
        <v>14</v>
      </c>
      <c r="H9" s="358" t="s">
        <v>14</v>
      </c>
    </row>
    <row r="10" spans="2:8" ht="20.100000000000001" customHeight="1">
      <c r="B10" s="363" t="s">
        <v>454</v>
      </c>
      <c r="C10" s="186">
        <v>239</v>
      </c>
      <c r="D10" s="351">
        <v>235</v>
      </c>
      <c r="E10" s="351">
        <v>239</v>
      </c>
      <c r="F10" s="351">
        <v>242</v>
      </c>
      <c r="G10" s="358">
        <v>243</v>
      </c>
      <c r="H10" s="358">
        <v>275</v>
      </c>
    </row>
    <row r="11" spans="2:8" ht="20.100000000000001" customHeight="1">
      <c r="B11" s="363" t="s">
        <v>453</v>
      </c>
      <c r="C11" s="186">
        <v>20</v>
      </c>
      <c r="D11" s="351">
        <v>25</v>
      </c>
      <c r="E11" s="351">
        <v>28</v>
      </c>
      <c r="F11" s="351">
        <v>31</v>
      </c>
      <c r="G11" s="358">
        <v>35</v>
      </c>
      <c r="H11" s="358">
        <v>33</v>
      </c>
    </row>
    <row r="12" spans="2:8" ht="20.100000000000001" customHeight="1">
      <c r="B12" s="363" t="s">
        <v>452</v>
      </c>
      <c r="C12" s="186">
        <v>142</v>
      </c>
      <c r="D12" s="351">
        <v>158</v>
      </c>
      <c r="E12" s="351">
        <v>107</v>
      </c>
      <c r="F12" s="351">
        <v>89</v>
      </c>
      <c r="G12" s="358">
        <v>105</v>
      </c>
      <c r="H12" s="358">
        <v>106</v>
      </c>
    </row>
    <row r="13" spans="2:8" ht="20.100000000000001" customHeight="1">
      <c r="B13" s="363" t="s">
        <v>421</v>
      </c>
      <c r="C13" s="186">
        <v>318</v>
      </c>
      <c r="D13" s="351">
        <v>335</v>
      </c>
      <c r="E13" s="351">
        <v>290</v>
      </c>
      <c r="F13" s="351">
        <v>235</v>
      </c>
      <c r="G13" s="358">
        <v>207</v>
      </c>
      <c r="H13" s="358">
        <v>179</v>
      </c>
    </row>
    <row r="14" spans="2:8" ht="20.100000000000001" customHeight="1">
      <c r="B14" s="433" t="s">
        <v>451</v>
      </c>
      <c r="C14" s="432">
        <v>654</v>
      </c>
      <c r="D14" s="432">
        <v>634</v>
      </c>
      <c r="E14" s="432">
        <v>639</v>
      </c>
      <c r="F14" s="432">
        <v>610</v>
      </c>
      <c r="G14" s="432">
        <v>599</v>
      </c>
      <c r="H14" s="432">
        <f>SUM(H15:H18)</f>
        <v>628</v>
      </c>
    </row>
    <row r="15" spans="2:8" ht="20.100000000000001" customHeight="1">
      <c r="B15" s="363" t="s">
        <v>425</v>
      </c>
      <c r="C15" s="186">
        <v>229</v>
      </c>
      <c r="D15" s="363">
        <v>243</v>
      </c>
      <c r="E15" s="363">
        <v>248</v>
      </c>
      <c r="F15" s="363">
        <v>200</v>
      </c>
      <c r="G15" s="363">
        <v>186</v>
      </c>
      <c r="H15" s="363">
        <v>179</v>
      </c>
    </row>
    <row r="16" spans="2:8" ht="20.100000000000001" customHeight="1">
      <c r="B16" s="363" t="s">
        <v>450</v>
      </c>
      <c r="C16" s="186">
        <v>104</v>
      </c>
      <c r="D16" s="363">
        <v>90</v>
      </c>
      <c r="E16" s="363">
        <v>87</v>
      </c>
      <c r="F16" s="363">
        <v>95</v>
      </c>
      <c r="G16" s="363">
        <v>93</v>
      </c>
      <c r="H16" s="363">
        <v>113</v>
      </c>
    </row>
    <row r="17" spans="2:8" ht="20.100000000000001" customHeight="1">
      <c r="B17" s="363" t="s">
        <v>449</v>
      </c>
      <c r="C17" s="186">
        <v>54</v>
      </c>
      <c r="D17" s="363">
        <v>58</v>
      </c>
      <c r="E17" s="363">
        <v>59</v>
      </c>
      <c r="F17" s="363">
        <v>58</v>
      </c>
      <c r="G17" s="363">
        <v>59</v>
      </c>
      <c r="H17" s="363">
        <v>57</v>
      </c>
    </row>
    <row r="18" spans="2:8" ht="20.100000000000001" customHeight="1">
      <c r="B18" s="363" t="s">
        <v>448</v>
      </c>
      <c r="C18" s="186">
        <v>267</v>
      </c>
      <c r="D18" s="363">
        <v>243</v>
      </c>
      <c r="E18" s="363">
        <v>245</v>
      </c>
      <c r="F18" s="363">
        <v>257</v>
      </c>
      <c r="G18" s="363">
        <v>261</v>
      </c>
      <c r="H18" s="363">
        <v>279</v>
      </c>
    </row>
    <row r="19" spans="2:8" ht="20.100000000000001" customHeight="1">
      <c r="B19" s="433" t="s">
        <v>447</v>
      </c>
      <c r="C19" s="432">
        <v>559</v>
      </c>
      <c r="D19" s="432">
        <v>517</v>
      </c>
      <c r="E19" s="432">
        <v>531</v>
      </c>
      <c r="F19" s="432">
        <v>438</v>
      </c>
      <c r="G19" s="432">
        <v>607</v>
      </c>
      <c r="H19" s="432">
        <f>SUM(H20:H26)</f>
        <v>578</v>
      </c>
    </row>
    <row r="20" spans="2:8" ht="20.100000000000001" customHeight="1">
      <c r="B20" s="363" t="s">
        <v>446</v>
      </c>
      <c r="C20" s="186">
        <v>15</v>
      </c>
      <c r="D20" s="351">
        <v>23</v>
      </c>
      <c r="E20" s="351">
        <v>25</v>
      </c>
      <c r="F20" s="351">
        <v>20</v>
      </c>
      <c r="G20" s="358">
        <v>21</v>
      </c>
      <c r="H20" s="358">
        <v>23</v>
      </c>
    </row>
    <row r="21" spans="2:8" ht="20.100000000000001" customHeight="1">
      <c r="B21" s="363" t="s">
        <v>424</v>
      </c>
      <c r="C21" s="186">
        <v>290</v>
      </c>
      <c r="D21" s="351">
        <v>291</v>
      </c>
      <c r="E21" s="351">
        <v>287</v>
      </c>
      <c r="F21" s="351">
        <v>127</v>
      </c>
      <c r="G21" s="358">
        <v>260</v>
      </c>
      <c r="H21" s="358">
        <v>246</v>
      </c>
    </row>
    <row r="22" spans="2:8" ht="20.100000000000001" customHeight="1">
      <c r="B22" s="363" t="s">
        <v>445</v>
      </c>
      <c r="C22" s="186">
        <v>16</v>
      </c>
      <c r="D22" s="351">
        <v>18</v>
      </c>
      <c r="E22" s="351">
        <v>18</v>
      </c>
      <c r="F22" s="351">
        <v>12</v>
      </c>
      <c r="G22" s="358">
        <v>7</v>
      </c>
      <c r="H22" s="358">
        <v>6</v>
      </c>
    </row>
    <row r="23" spans="2:8" ht="20.100000000000001" customHeight="1">
      <c r="B23" s="363" t="s">
        <v>444</v>
      </c>
      <c r="C23" s="186">
        <v>31</v>
      </c>
      <c r="D23" s="351">
        <v>14</v>
      </c>
      <c r="E23" s="351">
        <v>14</v>
      </c>
      <c r="F23" s="351">
        <v>27</v>
      </c>
      <c r="G23" s="358">
        <v>50</v>
      </c>
      <c r="H23" s="358">
        <v>62</v>
      </c>
    </row>
    <row r="24" spans="2:8" ht="20.100000000000001" customHeight="1">
      <c r="B24" s="363" t="s">
        <v>423</v>
      </c>
      <c r="C24" s="186">
        <v>37</v>
      </c>
      <c r="D24" s="351">
        <v>37</v>
      </c>
      <c r="E24" s="351">
        <v>36</v>
      </c>
      <c r="F24" s="351">
        <v>36</v>
      </c>
      <c r="G24" s="358">
        <v>37</v>
      </c>
      <c r="H24" s="358">
        <v>37</v>
      </c>
    </row>
    <row r="25" spans="2:8" ht="20.100000000000001" customHeight="1">
      <c r="B25" s="363" t="s">
        <v>422</v>
      </c>
      <c r="C25" s="186">
        <v>170</v>
      </c>
      <c r="D25" s="351">
        <v>134</v>
      </c>
      <c r="E25" s="351">
        <v>134</v>
      </c>
      <c r="F25" s="351">
        <v>132</v>
      </c>
      <c r="G25" s="358">
        <v>137</v>
      </c>
      <c r="H25" s="358">
        <v>139</v>
      </c>
    </row>
    <row r="26" spans="2:8" ht="20.100000000000001" customHeight="1">
      <c r="B26" s="365" t="s">
        <v>419</v>
      </c>
      <c r="C26" s="186" t="s">
        <v>14</v>
      </c>
      <c r="D26" s="126" t="s">
        <v>14</v>
      </c>
      <c r="E26" s="126">
        <v>17</v>
      </c>
      <c r="F26" s="126">
        <v>84</v>
      </c>
      <c r="G26" s="359">
        <v>95</v>
      </c>
      <c r="H26" s="359">
        <v>65</v>
      </c>
    </row>
    <row r="27" spans="2:8" ht="20.100000000000001" customHeight="1">
      <c r="B27" s="433" t="s">
        <v>443</v>
      </c>
      <c r="C27" s="432">
        <v>348</v>
      </c>
      <c r="D27" s="432">
        <v>279</v>
      </c>
      <c r="E27" s="432">
        <v>255</v>
      </c>
      <c r="F27" s="432">
        <v>247</v>
      </c>
      <c r="G27" s="432">
        <v>239</v>
      </c>
      <c r="H27" s="432">
        <f>SUM(H28:H35)</f>
        <v>251</v>
      </c>
    </row>
    <row r="28" spans="2:8" ht="20.100000000000001" customHeight="1">
      <c r="B28" s="363" t="s">
        <v>442</v>
      </c>
      <c r="C28" s="186">
        <v>76</v>
      </c>
      <c r="D28" s="351">
        <v>78</v>
      </c>
      <c r="E28" s="351">
        <v>72</v>
      </c>
      <c r="F28" s="351">
        <v>75</v>
      </c>
      <c r="G28" s="358">
        <v>78</v>
      </c>
      <c r="H28" s="358">
        <v>83</v>
      </c>
    </row>
    <row r="29" spans="2:8" ht="20.100000000000001" customHeight="1">
      <c r="B29" s="363" t="s">
        <v>441</v>
      </c>
      <c r="C29" s="186">
        <v>46</v>
      </c>
      <c r="D29" s="351">
        <v>34</v>
      </c>
      <c r="E29" s="351">
        <v>28</v>
      </c>
      <c r="F29" s="351">
        <v>30</v>
      </c>
      <c r="G29" s="358">
        <v>28</v>
      </c>
      <c r="H29" s="358">
        <v>27</v>
      </c>
    </row>
    <row r="30" spans="2:8" ht="20.100000000000001" customHeight="1">
      <c r="B30" s="363" t="s">
        <v>440</v>
      </c>
      <c r="C30" s="186" t="s">
        <v>439</v>
      </c>
      <c r="D30" s="351" t="s">
        <v>14</v>
      </c>
      <c r="E30" s="351"/>
      <c r="F30" s="351"/>
      <c r="G30" s="358"/>
      <c r="H30" s="358"/>
    </row>
    <row r="31" spans="2:8" ht="20.100000000000001" customHeight="1">
      <c r="B31" s="648" t="s">
        <v>438</v>
      </c>
      <c r="C31" s="186">
        <v>59</v>
      </c>
      <c r="D31" s="351">
        <v>34</v>
      </c>
      <c r="E31" s="351">
        <v>14</v>
      </c>
      <c r="F31" s="351">
        <v>12</v>
      </c>
      <c r="G31" s="358">
        <v>13</v>
      </c>
      <c r="H31" s="358">
        <v>12</v>
      </c>
    </row>
    <row r="32" spans="2:8" ht="20.100000000000001" customHeight="1">
      <c r="B32" s="648" t="s">
        <v>437</v>
      </c>
      <c r="C32" s="186" t="s">
        <v>14</v>
      </c>
      <c r="D32" s="351" t="s">
        <v>14</v>
      </c>
      <c r="E32" s="351"/>
      <c r="F32" s="351"/>
      <c r="G32" s="358"/>
      <c r="H32" s="358">
        <v>6</v>
      </c>
    </row>
    <row r="33" spans="2:8" ht="20.100000000000001" customHeight="1">
      <c r="B33" s="363" t="s">
        <v>436</v>
      </c>
      <c r="C33" s="186"/>
      <c r="D33" s="351"/>
      <c r="E33" s="351"/>
      <c r="F33" s="351"/>
      <c r="G33" s="358">
        <v>12</v>
      </c>
      <c r="H33" s="358">
        <v>16</v>
      </c>
    </row>
    <row r="34" spans="2:8" ht="20.100000000000001" customHeight="1">
      <c r="B34" s="363" t="s">
        <v>435</v>
      </c>
      <c r="C34" s="186">
        <v>123</v>
      </c>
      <c r="D34" s="351">
        <v>86</v>
      </c>
      <c r="E34" s="351">
        <v>89</v>
      </c>
      <c r="F34" s="351">
        <v>78</v>
      </c>
      <c r="G34" s="358">
        <v>60</v>
      </c>
      <c r="H34" s="358">
        <v>57</v>
      </c>
    </row>
    <row r="35" spans="2:8" ht="20.100000000000001" customHeight="1">
      <c r="B35" s="363" t="s">
        <v>420</v>
      </c>
      <c r="C35" s="186">
        <v>44</v>
      </c>
      <c r="D35" s="351">
        <v>47</v>
      </c>
      <c r="E35" s="351">
        <v>52</v>
      </c>
      <c r="F35" s="351">
        <v>52</v>
      </c>
      <c r="G35" s="358">
        <v>48</v>
      </c>
      <c r="H35" s="358">
        <v>50</v>
      </c>
    </row>
    <row r="36" spans="2:8" ht="20.100000000000001" customHeight="1">
      <c r="B36" s="433" t="s">
        <v>434</v>
      </c>
      <c r="C36" s="432">
        <v>244</v>
      </c>
      <c r="D36" s="432">
        <v>265</v>
      </c>
      <c r="E36" s="432">
        <v>258</v>
      </c>
      <c r="F36" s="432">
        <v>238</v>
      </c>
      <c r="G36" s="432">
        <v>235</v>
      </c>
      <c r="H36" s="432">
        <f>SUM(H37:H42)</f>
        <v>221</v>
      </c>
    </row>
    <row r="37" spans="2:8" ht="20.100000000000001" customHeight="1">
      <c r="B37" s="363" t="s">
        <v>433</v>
      </c>
      <c r="C37" s="186">
        <v>19</v>
      </c>
      <c r="D37" s="351">
        <v>16</v>
      </c>
      <c r="E37" s="351">
        <v>4</v>
      </c>
      <c r="F37" s="351">
        <v>4</v>
      </c>
      <c r="G37" s="358">
        <v>4</v>
      </c>
      <c r="H37" s="358">
        <v>5</v>
      </c>
    </row>
    <row r="38" spans="2:8" ht="20.100000000000001" customHeight="1">
      <c r="B38" s="363" t="s">
        <v>432</v>
      </c>
      <c r="C38" s="186">
        <v>21</v>
      </c>
      <c r="D38" s="351">
        <v>18</v>
      </c>
      <c r="E38" s="351">
        <v>15</v>
      </c>
      <c r="F38" s="351">
        <v>15</v>
      </c>
      <c r="G38" s="358">
        <v>13</v>
      </c>
      <c r="H38" s="358">
        <v>12</v>
      </c>
    </row>
    <row r="39" spans="2:8" ht="20.100000000000001" customHeight="1">
      <c r="B39" s="363" t="s">
        <v>431</v>
      </c>
      <c r="C39" s="186">
        <v>15</v>
      </c>
      <c r="D39" s="351">
        <v>10</v>
      </c>
      <c r="E39" s="351">
        <v>11</v>
      </c>
      <c r="F39" s="351">
        <v>12</v>
      </c>
      <c r="G39" s="358">
        <v>8</v>
      </c>
      <c r="H39" s="358">
        <v>1</v>
      </c>
    </row>
    <row r="40" spans="2:8" ht="20.100000000000001" customHeight="1">
      <c r="B40" s="363" t="s">
        <v>430</v>
      </c>
      <c r="C40" s="186">
        <v>112</v>
      </c>
      <c r="D40" s="351">
        <v>140</v>
      </c>
      <c r="E40" s="351">
        <v>147</v>
      </c>
      <c r="F40" s="351">
        <v>130</v>
      </c>
      <c r="G40" s="358">
        <v>131</v>
      </c>
      <c r="H40" s="358">
        <v>132</v>
      </c>
    </row>
    <row r="41" spans="2:8" ht="20.100000000000001" customHeight="1">
      <c r="B41" s="363" t="s">
        <v>429</v>
      </c>
      <c r="C41" s="186">
        <v>19</v>
      </c>
      <c r="D41" s="351">
        <v>21</v>
      </c>
      <c r="E41" s="351">
        <v>19</v>
      </c>
      <c r="F41" s="351">
        <v>17</v>
      </c>
      <c r="G41" s="358">
        <v>16</v>
      </c>
      <c r="H41" s="358">
        <v>16</v>
      </c>
    </row>
    <row r="42" spans="2:8" ht="20.100000000000001" customHeight="1">
      <c r="B42" s="363" t="s">
        <v>428</v>
      </c>
      <c r="C42" s="186">
        <v>58</v>
      </c>
      <c r="D42" s="351">
        <v>60</v>
      </c>
      <c r="E42" s="351">
        <v>62</v>
      </c>
      <c r="F42" s="351">
        <v>60</v>
      </c>
      <c r="G42" s="358">
        <v>63</v>
      </c>
      <c r="H42" s="358">
        <v>55</v>
      </c>
    </row>
    <row r="43" spans="2:8" ht="20.100000000000001" customHeight="1">
      <c r="B43" s="647" t="s">
        <v>427</v>
      </c>
      <c r="C43" s="586">
        <v>2566</v>
      </c>
      <c r="D43" s="586">
        <v>2452</v>
      </c>
      <c r="E43" s="586">
        <v>2347</v>
      </c>
      <c r="F43" s="586">
        <v>2146</v>
      </c>
      <c r="G43" s="586">
        <v>2299</v>
      </c>
      <c r="H43" s="586">
        <f>H5+H14+H19+H27+H36</f>
        <v>2300</v>
      </c>
    </row>
    <row r="44" spans="2:8" ht="20.100000000000001" customHeight="1">
      <c r="B44" s="646" t="s">
        <v>426</v>
      </c>
      <c r="C44" s="645">
        <v>639</v>
      </c>
      <c r="D44" s="644">
        <v>600</v>
      </c>
      <c r="E44" s="644">
        <v>559</v>
      </c>
      <c r="F44" s="644">
        <v>571</v>
      </c>
      <c r="G44" s="644">
        <v>687</v>
      </c>
      <c r="H44" s="644">
        <f>SUM(H45:H51)</f>
        <v>611</v>
      </c>
    </row>
    <row r="45" spans="2:8" ht="20.100000000000001" customHeight="1">
      <c r="B45" s="363" t="s">
        <v>425</v>
      </c>
      <c r="C45" s="376">
        <v>20</v>
      </c>
      <c r="D45" s="351">
        <v>5</v>
      </c>
      <c r="E45" s="351" t="s">
        <v>14</v>
      </c>
      <c r="F45" s="351">
        <v>2</v>
      </c>
      <c r="G45" s="358">
        <v>3</v>
      </c>
      <c r="H45" s="358" t="s">
        <v>14</v>
      </c>
    </row>
    <row r="46" spans="2:8" ht="20.100000000000001" customHeight="1">
      <c r="B46" s="363" t="s">
        <v>424</v>
      </c>
      <c r="C46" s="376">
        <v>125</v>
      </c>
      <c r="D46" s="351">
        <v>123</v>
      </c>
      <c r="E46" s="351">
        <v>116</v>
      </c>
      <c r="F46" s="351">
        <v>118</v>
      </c>
      <c r="G46" s="358">
        <v>253</v>
      </c>
      <c r="H46" s="358">
        <v>237</v>
      </c>
    </row>
    <row r="47" spans="2:8" ht="20.100000000000001" customHeight="1">
      <c r="B47" s="363" t="s">
        <v>423</v>
      </c>
      <c r="C47" s="376">
        <v>35</v>
      </c>
      <c r="D47" s="351">
        <v>36</v>
      </c>
      <c r="E47" s="351">
        <v>34</v>
      </c>
      <c r="F47" s="351">
        <v>34</v>
      </c>
      <c r="G47" s="358">
        <v>35</v>
      </c>
      <c r="H47" s="358">
        <v>34</v>
      </c>
    </row>
    <row r="48" spans="2:8" ht="20.100000000000001" customHeight="1">
      <c r="B48" s="363" t="s">
        <v>422</v>
      </c>
      <c r="C48" s="376">
        <v>114</v>
      </c>
      <c r="D48" s="351">
        <v>76</v>
      </c>
      <c r="E48" s="351">
        <v>77</v>
      </c>
      <c r="F48" s="351">
        <v>77</v>
      </c>
      <c r="G48" s="358">
        <v>78</v>
      </c>
      <c r="H48" s="358">
        <v>74</v>
      </c>
    </row>
    <row r="49" spans="2:8" ht="20.100000000000001" customHeight="1">
      <c r="B49" s="363" t="s">
        <v>421</v>
      </c>
      <c r="C49" s="376">
        <v>313</v>
      </c>
      <c r="D49" s="351">
        <v>327</v>
      </c>
      <c r="E49" s="351">
        <v>280</v>
      </c>
      <c r="F49" s="351">
        <v>227</v>
      </c>
      <c r="G49" s="358">
        <v>197</v>
      </c>
      <c r="H49" s="358">
        <v>171</v>
      </c>
    </row>
    <row r="50" spans="2:8" ht="20.100000000000001" customHeight="1">
      <c r="B50" s="363" t="s">
        <v>420</v>
      </c>
      <c r="C50" s="376">
        <v>32</v>
      </c>
      <c r="D50" s="351">
        <v>33</v>
      </c>
      <c r="E50" s="351">
        <v>37</v>
      </c>
      <c r="F50" s="351">
        <v>38</v>
      </c>
      <c r="G50" s="358">
        <v>37</v>
      </c>
      <c r="H50" s="358">
        <v>40</v>
      </c>
    </row>
    <row r="51" spans="2:8" ht="20.100000000000001" customHeight="1">
      <c r="B51" s="643" t="s">
        <v>419</v>
      </c>
      <c r="C51" s="642" t="s">
        <v>14</v>
      </c>
      <c r="D51" s="641" t="s">
        <v>14</v>
      </c>
      <c r="E51" s="641">
        <v>15</v>
      </c>
      <c r="F51" s="641">
        <v>75</v>
      </c>
      <c r="G51" s="640">
        <v>84</v>
      </c>
      <c r="H51" s="640">
        <v>55</v>
      </c>
    </row>
    <row r="53" spans="2:8" ht="14.1" customHeight="1">
      <c r="B53" s="639" t="s">
        <v>418</v>
      </c>
      <c r="C53" s="638"/>
      <c r="D53" s="638"/>
      <c r="E53" s="638"/>
      <c r="F53" s="638"/>
      <c r="G53" s="638"/>
      <c r="H53" s="638"/>
    </row>
    <row r="54" spans="2:8" ht="12.95" customHeight="1">
      <c r="B54" s="639" t="s">
        <v>417</v>
      </c>
      <c r="C54" s="638"/>
      <c r="D54" s="638"/>
      <c r="E54" s="638"/>
      <c r="F54" s="638"/>
      <c r="G54" s="638"/>
      <c r="H54" s="638"/>
    </row>
    <row r="55" spans="2:8" ht="12.95" customHeight="1">
      <c r="B55" s="339" t="s">
        <v>416</v>
      </c>
    </row>
    <row r="56" spans="2:8" ht="20.100000000000001" customHeight="1">
      <c r="B56" s="466"/>
      <c r="C56" s="466"/>
      <c r="D56" s="466"/>
    </row>
  </sheetData>
  <mergeCells count="1">
    <mergeCell ref="B2:H2"/>
  </mergeCells>
  <pageMargins left="0.74803149606299213" right="0.74803149606299213" top="0.98425196850393704" bottom="0.98425196850393704" header="0.51181102362204722" footer="0.51181102362204722"/>
  <pageSetup paperSize="9" scale="63" orientation="portrait" horizontalDpi="4294967292" verticalDpi="4294967292"/>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39">
    <tabColor rgb="FF733E8D"/>
    <pageSetUpPr fitToPage="1"/>
  </sheetPr>
  <dimension ref="B2:H53"/>
  <sheetViews>
    <sheetView showGridLines="0" workbookViewId="0">
      <selection activeCell="J50" sqref="J50"/>
    </sheetView>
  </sheetViews>
  <sheetFormatPr defaultColWidth="10.875" defaultRowHeight="20.100000000000001" customHeight="1"/>
  <cols>
    <col min="1" max="1" width="5.5" style="468" customWidth="1"/>
    <col min="2" max="2" width="39.375" style="468" customWidth="1"/>
    <col min="3" max="4" width="10.875" style="468" customWidth="1"/>
    <col min="5" max="5" width="10.875" style="42"/>
    <col min="6" max="16384" width="10.875" style="468"/>
  </cols>
  <sheetData>
    <row r="2" spans="2:8" ht="20.100000000000001" customHeight="1">
      <c r="B2" s="1156" t="str">
        <f>UPPER("Liquids production(1)")</f>
        <v>LIQUIDS PRODUCTION(1)</v>
      </c>
      <c r="C2" s="1156"/>
      <c r="D2" s="1156"/>
      <c r="E2" s="1156"/>
      <c r="F2" s="1156"/>
      <c r="G2" s="1156"/>
      <c r="H2" s="1156"/>
    </row>
    <row r="4" spans="2:8" ht="20.100000000000001" customHeight="1">
      <c r="B4" s="220" t="s">
        <v>464</v>
      </c>
      <c r="C4" s="654">
        <v>2017</v>
      </c>
      <c r="D4" s="654">
        <v>2016</v>
      </c>
      <c r="E4" s="653">
        <v>2015</v>
      </c>
      <c r="F4" s="653">
        <v>2014</v>
      </c>
      <c r="G4" s="652">
        <v>2013</v>
      </c>
      <c r="H4" s="652">
        <v>2012</v>
      </c>
    </row>
    <row r="5" spans="2:8" ht="20.100000000000001" customHeight="1">
      <c r="B5" s="431" t="s">
        <v>458</v>
      </c>
      <c r="C5" s="651">
        <v>265</v>
      </c>
      <c r="D5" s="651">
        <v>249</v>
      </c>
      <c r="E5" s="651">
        <v>215</v>
      </c>
      <c r="F5" s="651">
        <v>201</v>
      </c>
      <c r="G5" s="651">
        <v>200</v>
      </c>
      <c r="H5" s="651">
        <f>SUM(H6:H13)</f>
        <v>224</v>
      </c>
    </row>
    <row r="6" spans="2:8" ht="20.100000000000001" customHeight="1">
      <c r="B6" s="363" t="s">
        <v>457</v>
      </c>
      <c r="C6" s="186" t="s">
        <v>14</v>
      </c>
      <c r="D6" s="351" t="s">
        <v>14</v>
      </c>
      <c r="E6" s="351" t="s">
        <v>14</v>
      </c>
      <c r="F6" s="351">
        <v>3</v>
      </c>
      <c r="G6" s="358">
        <v>5</v>
      </c>
      <c r="H6" s="358">
        <v>4</v>
      </c>
    </row>
    <row r="7" spans="2:8" ht="20.100000000000001" customHeight="1">
      <c r="B7" s="363" t="s">
        <v>40</v>
      </c>
      <c r="C7" s="186" t="s">
        <v>14</v>
      </c>
      <c r="D7" s="351" t="s">
        <v>14</v>
      </c>
      <c r="E7" s="351" t="s">
        <v>14</v>
      </c>
      <c r="F7" s="351" t="s">
        <v>14</v>
      </c>
      <c r="G7" s="358">
        <v>1</v>
      </c>
      <c r="H7" s="358">
        <v>2</v>
      </c>
    </row>
    <row r="8" spans="2:8" ht="20.100000000000001" customHeight="1">
      <c r="B8" s="363" t="s">
        <v>456</v>
      </c>
      <c r="C8" s="186" t="s">
        <v>14</v>
      </c>
      <c r="D8" s="351" t="s">
        <v>14</v>
      </c>
      <c r="E8" s="351" t="s">
        <v>14</v>
      </c>
      <c r="F8" s="351" t="s">
        <v>14</v>
      </c>
      <c r="G8" s="358" t="s">
        <v>14</v>
      </c>
      <c r="H8" s="358" t="s">
        <v>14</v>
      </c>
    </row>
    <row r="9" spans="2:8" ht="20.100000000000001" customHeight="1">
      <c r="B9" s="363" t="s">
        <v>455</v>
      </c>
      <c r="C9" s="186">
        <v>31</v>
      </c>
      <c r="D9" s="351">
        <v>3</v>
      </c>
      <c r="E9" s="351" t="s">
        <v>14</v>
      </c>
      <c r="F9" s="351" t="s">
        <v>14</v>
      </c>
      <c r="G9" s="358" t="s">
        <v>14</v>
      </c>
      <c r="H9" s="358" t="s">
        <v>14</v>
      </c>
    </row>
    <row r="10" spans="2:8" ht="20.100000000000001" customHeight="1">
      <c r="B10" s="363" t="s">
        <v>454</v>
      </c>
      <c r="C10" s="186">
        <v>121</v>
      </c>
      <c r="D10" s="351">
        <v>121</v>
      </c>
      <c r="E10" s="351">
        <v>125</v>
      </c>
      <c r="F10" s="351">
        <v>135</v>
      </c>
      <c r="G10" s="358">
        <v>136</v>
      </c>
      <c r="H10" s="358">
        <v>159</v>
      </c>
    </row>
    <row r="11" spans="2:8" ht="20.100000000000001" customHeight="1">
      <c r="B11" s="363" t="s">
        <v>453</v>
      </c>
      <c r="C11" s="186" t="s">
        <v>14</v>
      </c>
      <c r="D11" s="351" t="s">
        <v>14</v>
      </c>
      <c r="E11" s="351">
        <v>1</v>
      </c>
      <c r="F11" s="351">
        <v>1</v>
      </c>
      <c r="G11" s="358">
        <v>1</v>
      </c>
      <c r="H11" s="358">
        <v>1</v>
      </c>
    </row>
    <row r="12" spans="2:8" ht="20.100000000000001" customHeight="1">
      <c r="B12" s="363" t="s">
        <v>452</v>
      </c>
      <c r="C12" s="186">
        <v>42</v>
      </c>
      <c r="D12" s="351">
        <v>49</v>
      </c>
      <c r="E12" s="351">
        <v>35</v>
      </c>
      <c r="F12" s="351">
        <v>29</v>
      </c>
      <c r="G12" s="358">
        <v>30</v>
      </c>
      <c r="H12" s="358">
        <v>35</v>
      </c>
    </row>
    <row r="13" spans="2:8" ht="20.100000000000001" customHeight="1">
      <c r="B13" s="363" t="s">
        <v>421</v>
      </c>
      <c r="C13" s="186">
        <v>71</v>
      </c>
      <c r="D13" s="351">
        <v>76</v>
      </c>
      <c r="E13" s="351">
        <v>54</v>
      </c>
      <c r="F13" s="351">
        <v>33</v>
      </c>
      <c r="G13" s="358">
        <v>27</v>
      </c>
      <c r="H13" s="358">
        <v>23</v>
      </c>
    </row>
    <row r="14" spans="2:8" ht="20.100000000000001" customHeight="1">
      <c r="B14" s="433" t="s">
        <v>451</v>
      </c>
      <c r="C14" s="432">
        <v>502</v>
      </c>
      <c r="D14" s="432">
        <v>509</v>
      </c>
      <c r="E14" s="432">
        <v>521</v>
      </c>
      <c r="F14" s="432">
        <v>490</v>
      </c>
      <c r="G14" s="432">
        <v>476</v>
      </c>
      <c r="H14" s="432">
        <f>SUM(H15:H18)</f>
        <v>506</v>
      </c>
    </row>
    <row r="15" spans="2:8" ht="20.100000000000001" customHeight="1">
      <c r="B15" s="363" t="s">
        <v>425</v>
      </c>
      <c r="C15" s="186">
        <v>204</v>
      </c>
      <c r="D15" s="363">
        <v>230</v>
      </c>
      <c r="E15" s="363">
        <v>238</v>
      </c>
      <c r="F15" s="363">
        <v>191</v>
      </c>
      <c r="G15" s="363">
        <v>175</v>
      </c>
      <c r="H15" s="363">
        <v>172</v>
      </c>
    </row>
    <row r="16" spans="2:8" ht="20.100000000000001" customHeight="1">
      <c r="B16" s="363" t="s">
        <v>450</v>
      </c>
      <c r="C16" s="186">
        <v>98</v>
      </c>
      <c r="D16" s="363">
        <v>84</v>
      </c>
      <c r="E16" s="363">
        <v>81</v>
      </c>
      <c r="F16" s="363">
        <v>88</v>
      </c>
      <c r="G16" s="363">
        <v>88</v>
      </c>
      <c r="H16" s="363">
        <v>107</v>
      </c>
    </row>
    <row r="17" spans="2:8" ht="20.100000000000001" customHeight="1">
      <c r="B17" s="363" t="s">
        <v>449</v>
      </c>
      <c r="C17" s="186">
        <v>51</v>
      </c>
      <c r="D17" s="363">
        <v>55</v>
      </c>
      <c r="E17" s="363">
        <v>55</v>
      </c>
      <c r="F17" s="363">
        <v>55</v>
      </c>
      <c r="G17" s="363">
        <v>55</v>
      </c>
      <c r="H17" s="363">
        <v>54</v>
      </c>
    </row>
    <row r="18" spans="2:8" ht="20.100000000000001" customHeight="1">
      <c r="B18" s="363" t="s">
        <v>448</v>
      </c>
      <c r="C18" s="186">
        <v>149</v>
      </c>
      <c r="D18" s="363">
        <v>140</v>
      </c>
      <c r="E18" s="363">
        <v>147</v>
      </c>
      <c r="F18" s="363">
        <v>156</v>
      </c>
      <c r="G18" s="363">
        <v>158</v>
      </c>
      <c r="H18" s="363">
        <v>173</v>
      </c>
    </row>
    <row r="19" spans="2:8" ht="20.100000000000001" customHeight="1">
      <c r="B19" s="433" t="s">
        <v>447</v>
      </c>
      <c r="C19" s="432">
        <v>419</v>
      </c>
      <c r="D19" s="432">
        <v>373</v>
      </c>
      <c r="E19" s="432">
        <v>372</v>
      </c>
      <c r="F19" s="432">
        <v>224</v>
      </c>
      <c r="G19" s="432">
        <v>379</v>
      </c>
      <c r="H19" s="432">
        <f>SUM(H20:H26)</f>
        <v>379</v>
      </c>
    </row>
    <row r="20" spans="2:8" ht="20.100000000000001" customHeight="1">
      <c r="B20" s="363" t="s">
        <v>446</v>
      </c>
      <c r="C20" s="186">
        <v>4</v>
      </c>
      <c r="D20" s="351">
        <v>6</v>
      </c>
      <c r="E20" s="351">
        <v>7</v>
      </c>
      <c r="F20" s="351">
        <v>5</v>
      </c>
      <c r="G20" s="358">
        <v>5</v>
      </c>
      <c r="H20" s="358">
        <v>6</v>
      </c>
    </row>
    <row r="21" spans="2:8" ht="20.100000000000001" customHeight="1">
      <c r="B21" s="363" t="s">
        <v>424</v>
      </c>
      <c r="C21" s="186">
        <v>278</v>
      </c>
      <c r="D21" s="351">
        <v>279</v>
      </c>
      <c r="E21" s="351">
        <v>274</v>
      </c>
      <c r="F21" s="351">
        <v>115</v>
      </c>
      <c r="G21" s="358">
        <v>247</v>
      </c>
      <c r="H21" s="358">
        <v>233</v>
      </c>
    </row>
    <row r="22" spans="2:8" ht="20.100000000000001" customHeight="1">
      <c r="B22" s="363" t="s">
        <v>445</v>
      </c>
      <c r="C22" s="186">
        <v>15</v>
      </c>
      <c r="D22" s="351">
        <v>17</v>
      </c>
      <c r="E22" s="351">
        <v>18</v>
      </c>
      <c r="F22" s="351">
        <v>12</v>
      </c>
      <c r="G22" s="358">
        <v>7</v>
      </c>
      <c r="H22" s="358">
        <v>6</v>
      </c>
    </row>
    <row r="23" spans="2:8" ht="20.100000000000001" customHeight="1">
      <c r="B23" s="363" t="s">
        <v>444</v>
      </c>
      <c r="C23" s="186">
        <v>31</v>
      </c>
      <c r="D23" s="351">
        <v>14</v>
      </c>
      <c r="E23" s="351">
        <v>14</v>
      </c>
      <c r="F23" s="351">
        <v>27</v>
      </c>
      <c r="G23" s="358">
        <v>50</v>
      </c>
      <c r="H23" s="358">
        <v>62</v>
      </c>
    </row>
    <row r="24" spans="2:8" ht="20.100000000000001" customHeight="1">
      <c r="B24" s="363" t="s">
        <v>423</v>
      </c>
      <c r="C24" s="186">
        <v>25</v>
      </c>
      <c r="D24" s="351">
        <v>26</v>
      </c>
      <c r="E24" s="351">
        <v>25</v>
      </c>
      <c r="F24" s="351">
        <v>24</v>
      </c>
      <c r="G24" s="358">
        <v>24</v>
      </c>
      <c r="H24" s="358">
        <v>24</v>
      </c>
    </row>
    <row r="25" spans="2:8" ht="20.100000000000001" customHeight="1">
      <c r="B25" s="363" t="s">
        <v>422</v>
      </c>
      <c r="C25" s="186">
        <v>66</v>
      </c>
      <c r="D25" s="351">
        <v>31</v>
      </c>
      <c r="E25" s="351">
        <v>32</v>
      </c>
      <c r="F25" s="351">
        <v>32</v>
      </c>
      <c r="G25" s="358">
        <v>36</v>
      </c>
      <c r="H25" s="358">
        <v>38</v>
      </c>
    </row>
    <row r="26" spans="2:8" ht="20.100000000000001" customHeight="1">
      <c r="B26" s="365" t="s">
        <v>419</v>
      </c>
      <c r="C26" s="186" t="s">
        <v>14</v>
      </c>
      <c r="D26" s="126" t="s">
        <v>14</v>
      </c>
      <c r="E26" s="126">
        <v>2</v>
      </c>
      <c r="F26" s="126">
        <v>9</v>
      </c>
      <c r="G26" s="359">
        <v>10</v>
      </c>
      <c r="H26" s="359">
        <v>10</v>
      </c>
    </row>
    <row r="27" spans="2:8" ht="20.100000000000001" customHeight="1">
      <c r="B27" s="433" t="s">
        <v>443</v>
      </c>
      <c r="C27" s="432">
        <v>132</v>
      </c>
      <c r="D27" s="432">
        <v>109</v>
      </c>
      <c r="E27" s="432">
        <v>95</v>
      </c>
      <c r="F27" s="432">
        <v>89</v>
      </c>
      <c r="G27" s="432">
        <v>82</v>
      </c>
      <c r="H27" s="432">
        <f>SUM(H28:H35)</f>
        <v>84</v>
      </c>
    </row>
    <row r="28" spans="2:8" ht="20.100000000000001" customHeight="1">
      <c r="B28" s="363" t="s">
        <v>442</v>
      </c>
      <c r="C28" s="186">
        <v>6</v>
      </c>
      <c r="D28" s="351">
        <v>8</v>
      </c>
      <c r="E28" s="351">
        <v>8</v>
      </c>
      <c r="F28" s="351">
        <v>9</v>
      </c>
      <c r="G28" s="358">
        <v>13</v>
      </c>
      <c r="H28" s="358">
        <v>12</v>
      </c>
    </row>
    <row r="29" spans="2:8" ht="20.100000000000001" customHeight="1">
      <c r="B29" s="363" t="s">
        <v>441</v>
      </c>
      <c r="C29" s="186">
        <v>5</v>
      </c>
      <c r="D29" s="351">
        <v>4</v>
      </c>
      <c r="E29" s="351">
        <v>3</v>
      </c>
      <c r="F29" s="351">
        <v>4</v>
      </c>
      <c r="G29" s="358">
        <v>4</v>
      </c>
      <c r="H29" s="358">
        <v>3</v>
      </c>
    </row>
    <row r="30" spans="2:8" ht="20.100000000000001" customHeight="1">
      <c r="B30" s="363" t="s">
        <v>440</v>
      </c>
      <c r="C30" s="186" t="s">
        <v>439</v>
      </c>
      <c r="D30" s="351" t="s">
        <v>14</v>
      </c>
      <c r="E30" s="351"/>
      <c r="F30" s="351"/>
      <c r="G30" s="358"/>
      <c r="H30" s="358"/>
    </row>
    <row r="31" spans="2:8" ht="20.100000000000001" customHeight="1">
      <c r="B31" s="648" t="s">
        <v>463</v>
      </c>
      <c r="C31" s="186">
        <v>59</v>
      </c>
      <c r="D31" s="351">
        <v>34</v>
      </c>
      <c r="E31" s="351">
        <v>14</v>
      </c>
      <c r="F31" s="351">
        <v>12</v>
      </c>
      <c r="G31" s="358">
        <v>13</v>
      </c>
      <c r="H31" s="358">
        <v>12</v>
      </c>
    </row>
    <row r="32" spans="2:8" ht="20.100000000000001" customHeight="1">
      <c r="B32" s="648" t="s">
        <v>437</v>
      </c>
      <c r="C32" s="186" t="s">
        <v>14</v>
      </c>
      <c r="D32" s="351" t="s">
        <v>14</v>
      </c>
      <c r="E32" s="351" t="s">
        <v>14</v>
      </c>
      <c r="F32" s="351" t="s">
        <v>14</v>
      </c>
      <c r="G32" s="358" t="s">
        <v>14</v>
      </c>
      <c r="H32" s="358">
        <v>1</v>
      </c>
    </row>
    <row r="33" spans="2:8" ht="20.100000000000001" customHeight="1">
      <c r="B33" s="363" t="s">
        <v>436</v>
      </c>
      <c r="C33" s="186" t="s">
        <v>14</v>
      </c>
      <c r="D33" s="351" t="s">
        <v>14</v>
      </c>
      <c r="E33" s="351" t="s">
        <v>14</v>
      </c>
      <c r="F33" s="351" t="s">
        <v>14</v>
      </c>
      <c r="G33" s="358">
        <v>2</v>
      </c>
      <c r="H33" s="358">
        <v>4</v>
      </c>
    </row>
    <row r="34" spans="2:8" ht="20.100000000000001" customHeight="1">
      <c r="B34" s="363" t="s">
        <v>435</v>
      </c>
      <c r="C34" s="186">
        <v>31</v>
      </c>
      <c r="D34" s="351">
        <v>31</v>
      </c>
      <c r="E34" s="351">
        <v>34</v>
      </c>
      <c r="F34" s="351">
        <v>27</v>
      </c>
      <c r="G34" s="358">
        <v>15</v>
      </c>
      <c r="H34" s="358">
        <v>13</v>
      </c>
    </row>
    <row r="35" spans="2:8" ht="20.100000000000001" customHeight="1">
      <c r="B35" s="363" t="s">
        <v>420</v>
      </c>
      <c r="C35" s="186">
        <v>31</v>
      </c>
      <c r="D35" s="351">
        <v>32</v>
      </c>
      <c r="E35" s="351">
        <v>36</v>
      </c>
      <c r="F35" s="351">
        <v>37</v>
      </c>
      <c r="G35" s="358">
        <v>35</v>
      </c>
      <c r="H35" s="358">
        <v>39</v>
      </c>
    </row>
    <row r="36" spans="2:8" ht="20.100000000000001" customHeight="1">
      <c r="B36" s="433" t="s">
        <v>434</v>
      </c>
      <c r="C36" s="432">
        <v>28</v>
      </c>
      <c r="D36" s="432">
        <v>31</v>
      </c>
      <c r="E36" s="432">
        <v>34</v>
      </c>
      <c r="F36" s="432">
        <v>30</v>
      </c>
      <c r="G36" s="432">
        <v>30</v>
      </c>
      <c r="H36" s="432">
        <f>SUM(H38:H42)</f>
        <v>27</v>
      </c>
    </row>
    <row r="37" spans="2:8" ht="20.100000000000001" customHeight="1">
      <c r="B37" s="363" t="s">
        <v>433</v>
      </c>
      <c r="C37" s="650" t="s">
        <v>14</v>
      </c>
      <c r="D37" s="649" t="s">
        <v>14</v>
      </c>
      <c r="E37" s="649" t="s">
        <v>14</v>
      </c>
      <c r="F37" s="649" t="s">
        <v>14</v>
      </c>
      <c r="G37" s="649" t="s">
        <v>14</v>
      </c>
      <c r="H37" s="649" t="s">
        <v>14</v>
      </c>
    </row>
    <row r="38" spans="2:8" ht="20.100000000000001" customHeight="1">
      <c r="B38" s="363" t="s">
        <v>432</v>
      </c>
      <c r="C38" s="186">
        <v>3</v>
      </c>
      <c r="D38" s="351">
        <v>3</v>
      </c>
      <c r="E38" s="351">
        <v>3</v>
      </c>
      <c r="F38" s="351">
        <v>2</v>
      </c>
      <c r="G38" s="358">
        <v>2</v>
      </c>
      <c r="H38" s="358">
        <v>2</v>
      </c>
    </row>
    <row r="39" spans="2:8" ht="20.100000000000001" customHeight="1">
      <c r="B39" s="363" t="s">
        <v>431</v>
      </c>
      <c r="C39" s="650" t="s">
        <v>462</v>
      </c>
      <c r="D39" s="649" t="s">
        <v>14</v>
      </c>
      <c r="E39" s="649" t="s">
        <v>14</v>
      </c>
      <c r="F39" s="649" t="s">
        <v>14</v>
      </c>
      <c r="G39" s="649" t="s">
        <v>14</v>
      </c>
      <c r="H39" s="649" t="s">
        <v>14</v>
      </c>
    </row>
    <row r="40" spans="2:8" ht="20.100000000000001" customHeight="1">
      <c r="B40" s="363" t="s">
        <v>430</v>
      </c>
      <c r="C40" s="186">
        <v>16</v>
      </c>
      <c r="D40" s="351">
        <v>19</v>
      </c>
      <c r="E40" s="351">
        <v>22</v>
      </c>
      <c r="F40" s="351">
        <v>18</v>
      </c>
      <c r="G40" s="358">
        <v>17</v>
      </c>
      <c r="H40" s="358">
        <v>16</v>
      </c>
    </row>
    <row r="41" spans="2:8" ht="20.100000000000001" customHeight="1">
      <c r="B41" s="363" t="s">
        <v>429</v>
      </c>
      <c r="C41" s="650" t="s">
        <v>14</v>
      </c>
      <c r="D41" s="649" t="s">
        <v>14</v>
      </c>
      <c r="E41" s="649" t="s">
        <v>14</v>
      </c>
      <c r="F41" s="649" t="s">
        <v>14</v>
      </c>
      <c r="G41" s="649" t="s">
        <v>14</v>
      </c>
      <c r="H41" s="649" t="s">
        <v>14</v>
      </c>
    </row>
    <row r="42" spans="2:8" ht="20.100000000000001" customHeight="1">
      <c r="B42" s="363" t="s">
        <v>428</v>
      </c>
      <c r="C42" s="186">
        <v>9</v>
      </c>
      <c r="D42" s="351">
        <v>9</v>
      </c>
      <c r="E42" s="351">
        <v>9</v>
      </c>
      <c r="F42" s="351">
        <v>10</v>
      </c>
      <c r="G42" s="358">
        <v>11</v>
      </c>
      <c r="H42" s="358">
        <v>9</v>
      </c>
    </row>
    <row r="43" spans="2:8" ht="20.100000000000001" customHeight="1">
      <c r="B43" s="647" t="s">
        <v>427</v>
      </c>
      <c r="C43" s="586">
        <v>1346</v>
      </c>
      <c r="D43" s="586">
        <v>1271</v>
      </c>
      <c r="E43" s="586">
        <v>1237</v>
      </c>
      <c r="F43" s="586">
        <v>1034</v>
      </c>
      <c r="G43" s="586">
        <v>1167</v>
      </c>
      <c r="H43" s="586">
        <f>H5+H14+H19+H27+H36</f>
        <v>1220</v>
      </c>
    </row>
    <row r="44" spans="2:8" ht="20.100000000000001" customHeight="1">
      <c r="B44" s="646" t="s">
        <v>426</v>
      </c>
      <c r="C44" s="645">
        <v>284</v>
      </c>
      <c r="D44" s="644">
        <v>247</v>
      </c>
      <c r="E44" s="644">
        <v>219</v>
      </c>
      <c r="F44" s="644">
        <v>200</v>
      </c>
      <c r="G44" s="644">
        <v>325</v>
      </c>
      <c r="H44" s="644">
        <f>SUM(H45:H50)</f>
        <v>308</v>
      </c>
    </row>
    <row r="45" spans="2:8" ht="20.100000000000001" customHeight="1">
      <c r="B45" s="363" t="s">
        <v>425</v>
      </c>
      <c r="C45" s="376">
        <v>5</v>
      </c>
      <c r="D45" s="351">
        <v>1</v>
      </c>
      <c r="E45" s="351" t="s">
        <v>14</v>
      </c>
      <c r="F45" s="351" t="s">
        <v>14</v>
      </c>
      <c r="G45" s="358" t="s">
        <v>14</v>
      </c>
      <c r="H45" s="358" t="s">
        <v>14</v>
      </c>
    </row>
    <row r="46" spans="2:8" ht="20.100000000000001" customHeight="1">
      <c r="B46" s="363" t="s">
        <v>424</v>
      </c>
      <c r="C46" s="376">
        <v>115</v>
      </c>
      <c r="D46" s="351">
        <v>114</v>
      </c>
      <c r="E46" s="351">
        <v>107</v>
      </c>
      <c r="F46" s="351">
        <v>109</v>
      </c>
      <c r="G46" s="358">
        <v>240</v>
      </c>
      <c r="H46" s="358">
        <v>225</v>
      </c>
    </row>
    <row r="47" spans="2:8" ht="20.100000000000001" customHeight="1">
      <c r="B47" s="363" t="s">
        <v>423</v>
      </c>
      <c r="C47" s="376">
        <v>23</v>
      </c>
      <c r="D47" s="351">
        <v>24</v>
      </c>
      <c r="E47" s="351">
        <v>24</v>
      </c>
      <c r="F47" s="351">
        <v>23</v>
      </c>
      <c r="G47" s="358">
        <v>23</v>
      </c>
      <c r="H47" s="358">
        <v>23</v>
      </c>
    </row>
    <row r="48" spans="2:8" ht="20.100000000000001" customHeight="1">
      <c r="B48" s="363" t="s">
        <v>422</v>
      </c>
      <c r="C48" s="376">
        <v>43</v>
      </c>
      <c r="D48" s="351">
        <v>7</v>
      </c>
      <c r="E48" s="351">
        <v>7</v>
      </c>
      <c r="F48" s="351">
        <v>7</v>
      </c>
      <c r="G48" s="358">
        <v>8</v>
      </c>
      <c r="H48" s="358">
        <v>7</v>
      </c>
    </row>
    <row r="49" spans="2:8" ht="20.100000000000001" customHeight="1">
      <c r="B49" s="363" t="s">
        <v>421</v>
      </c>
      <c r="C49" s="376">
        <v>67</v>
      </c>
      <c r="D49" s="351">
        <v>69</v>
      </c>
      <c r="E49" s="351">
        <v>45</v>
      </c>
      <c r="F49" s="351">
        <v>24</v>
      </c>
      <c r="G49" s="358">
        <v>19</v>
      </c>
      <c r="H49" s="358">
        <v>15</v>
      </c>
    </row>
    <row r="50" spans="2:8" ht="20.100000000000001" customHeight="1">
      <c r="B50" s="363" t="s">
        <v>420</v>
      </c>
      <c r="C50" s="376">
        <v>31</v>
      </c>
      <c r="D50" s="351">
        <v>32</v>
      </c>
      <c r="E50" s="351">
        <v>36</v>
      </c>
      <c r="F50" s="351">
        <v>37</v>
      </c>
      <c r="G50" s="358">
        <v>35</v>
      </c>
      <c r="H50" s="358">
        <v>38</v>
      </c>
    </row>
    <row r="51" spans="2:8" s="1151" customFormat="1" ht="20.100000000000001" customHeight="1">
      <c r="B51" s="643" t="s">
        <v>419</v>
      </c>
      <c r="C51" s="642" t="s">
        <v>14</v>
      </c>
      <c r="D51" s="641" t="s">
        <v>14</v>
      </c>
      <c r="E51" s="641" t="s">
        <v>14</v>
      </c>
      <c r="F51" s="641" t="s">
        <v>14</v>
      </c>
      <c r="G51" s="640" t="s">
        <v>14</v>
      </c>
      <c r="H51" s="640" t="s">
        <v>14</v>
      </c>
    </row>
    <row r="53" spans="2:8" ht="43.5" customHeight="1">
      <c r="B53" s="1189" t="s">
        <v>461</v>
      </c>
      <c r="C53" s="1189"/>
      <c r="D53" s="1189"/>
      <c r="E53" s="1189"/>
      <c r="F53" s="1189"/>
      <c r="G53" s="1189"/>
      <c r="H53" s="1189"/>
    </row>
  </sheetData>
  <mergeCells count="2">
    <mergeCell ref="B2:H2"/>
    <mergeCell ref="B53:H53"/>
  </mergeCells>
  <pageMargins left="0.74803149606299213" right="0.74803149606299213" top="0.98425196850393704" bottom="0.98425196850393704" header="0.51181102362204722" footer="0.51181102362204722"/>
  <pageSetup paperSize="9" scale="65" orientation="portrait" horizontalDpi="4294967292" verticalDpi="429496729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4">
    <tabColor rgb="FF0076BD"/>
    <pageSetUpPr fitToPage="1"/>
  </sheetPr>
  <dimension ref="B2:J15"/>
  <sheetViews>
    <sheetView showGridLines="0" view="pageBreakPreview" zoomScaleNormal="115" zoomScaleSheetLayoutView="100" zoomScalePageLayoutView="115" workbookViewId="0"/>
  </sheetViews>
  <sheetFormatPr defaultColWidth="11" defaultRowHeight="20.100000000000001" customHeight="1"/>
  <cols>
    <col min="1" max="1" width="5.5" style="451" customWidth="1"/>
    <col min="2" max="2" width="39.375" style="451" customWidth="1"/>
    <col min="3" max="8" width="10.5" style="451" customWidth="1"/>
    <col min="9" max="9" width="10.375" style="451" customWidth="1"/>
    <col min="10" max="10" width="10.5" style="451" hidden="1" customWidth="1"/>
    <col min="11" max="16384" width="11" style="451"/>
  </cols>
  <sheetData>
    <row r="2" spans="2:10" ht="20.100000000000001" customHeight="1">
      <c r="B2" s="1156" t="str">
        <f>UPPER("Market environment")</f>
        <v>MARKET ENVIRONMENT</v>
      </c>
      <c r="C2" s="1156"/>
      <c r="D2" s="1156"/>
      <c r="E2" s="1156"/>
      <c r="F2" s="1156"/>
      <c r="G2" s="1156"/>
      <c r="H2" s="1156"/>
      <c r="I2" s="1156"/>
      <c r="J2" s="1156"/>
    </row>
    <row r="4" spans="2:10" ht="20.100000000000001" customHeight="1">
      <c r="B4" s="321"/>
      <c r="C4" s="244">
        <v>2017</v>
      </c>
      <c r="D4" s="244">
        <v>2016</v>
      </c>
      <c r="E4" s="244">
        <v>2015</v>
      </c>
      <c r="F4" s="244">
        <v>2014</v>
      </c>
      <c r="G4" s="244">
        <v>2013</v>
      </c>
    </row>
    <row r="5" spans="2:10" ht="20.100000000000001" customHeight="1">
      <c r="B5" s="363" t="s">
        <v>260</v>
      </c>
      <c r="C5" s="231">
        <v>1.1990000000000001</v>
      </c>
      <c r="D5" s="445">
        <v>1.05</v>
      </c>
      <c r="E5" s="280">
        <v>1.0900000000000001</v>
      </c>
      <c r="F5" s="280">
        <v>1.21</v>
      </c>
      <c r="G5" s="280">
        <v>1.38</v>
      </c>
    </row>
    <row r="6" spans="2:10" ht="20.100000000000001" customHeight="1">
      <c r="B6" s="363" t="s">
        <v>261</v>
      </c>
      <c r="C6" s="231">
        <v>1.1299999999999999</v>
      </c>
      <c r="D6" s="445">
        <v>1.1100000000000001</v>
      </c>
      <c r="E6" s="125">
        <v>1.1100000000000001</v>
      </c>
      <c r="F6" s="125">
        <v>1.33</v>
      </c>
      <c r="G6" s="125">
        <v>1.33</v>
      </c>
    </row>
    <row r="7" spans="2:10" ht="20.100000000000001" customHeight="1">
      <c r="B7" s="363" t="s">
        <v>237</v>
      </c>
      <c r="C7" s="229">
        <v>66.569999999999993</v>
      </c>
      <c r="D7" s="446">
        <v>56.8</v>
      </c>
      <c r="E7" s="281">
        <v>37.299999999999997</v>
      </c>
      <c r="F7" s="281">
        <v>57.3</v>
      </c>
      <c r="G7" s="281">
        <v>110.3</v>
      </c>
    </row>
    <row r="8" spans="2:10" ht="20.100000000000001" customHeight="1">
      <c r="B8" s="363" t="s">
        <v>238</v>
      </c>
      <c r="C8" s="229">
        <v>54.2</v>
      </c>
      <c r="D8" s="446">
        <v>43.7</v>
      </c>
      <c r="E8" s="125">
        <v>52.4</v>
      </c>
      <c r="F8" s="305">
        <v>99</v>
      </c>
      <c r="G8" s="125">
        <v>108.7</v>
      </c>
    </row>
    <row r="9" spans="2:10" ht="20.100000000000001" customHeight="1">
      <c r="B9" s="369" t="s">
        <v>262</v>
      </c>
      <c r="C9" s="230">
        <v>40.9</v>
      </c>
      <c r="D9" s="282">
        <v>34.1</v>
      </c>
      <c r="E9" s="282">
        <v>48.5</v>
      </c>
      <c r="F9" s="282">
        <v>18.7</v>
      </c>
      <c r="G9" s="282">
        <v>17.899999999999999</v>
      </c>
    </row>
    <row r="11" spans="2:10" ht="20.100000000000001" customHeight="1">
      <c r="B11" s="1158" t="s">
        <v>263</v>
      </c>
      <c r="C11" s="1161"/>
      <c r="D11" s="1161"/>
      <c r="E11" s="1161"/>
      <c r="F11" s="1161"/>
      <c r="G11" s="1161"/>
      <c r="H11" s="1161"/>
      <c r="I11" s="1161"/>
      <c r="J11" s="1161"/>
    </row>
    <row r="12" spans="2:10" ht="20.100000000000001" customHeight="1">
      <c r="B12" s="1161"/>
      <c r="C12" s="1161"/>
      <c r="D12" s="1161"/>
      <c r="E12" s="1161"/>
      <c r="F12" s="1161"/>
      <c r="G12" s="1161"/>
      <c r="H12" s="1161"/>
      <c r="I12" s="1161"/>
      <c r="J12" s="1161"/>
    </row>
    <row r="13" spans="2:10" ht="20.100000000000001" customHeight="1">
      <c r="D13" s="301"/>
    </row>
    <row r="14" spans="2:10" ht="14.1" customHeight="1"/>
    <row r="15" spans="2:10" ht="14.1" customHeight="1"/>
  </sheetData>
  <mergeCells count="3">
    <mergeCell ref="B2:J2"/>
    <mergeCell ref="B11:J11"/>
    <mergeCell ref="B12:J12"/>
  </mergeCells>
  <pageMargins left="0.74803149606299213" right="0.74803149606299213" top="0.98425196850393704" bottom="0.98425196850393704" header="0.51181102362204722" footer="0.51181102362204722"/>
  <pageSetup paperSize="8"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40">
    <tabColor rgb="FF733E8D"/>
    <pageSetUpPr fitToPage="1"/>
  </sheetPr>
  <dimension ref="B2:I52"/>
  <sheetViews>
    <sheetView showGridLines="0" zoomScaleNormal="100" zoomScalePageLayoutView="85" workbookViewId="0">
      <selection activeCell="L47" sqref="L47"/>
    </sheetView>
  </sheetViews>
  <sheetFormatPr defaultColWidth="10.875" defaultRowHeight="20.100000000000001" customHeight="1"/>
  <cols>
    <col min="1" max="1" width="5.5" style="468" customWidth="1"/>
    <col min="2" max="2" width="39.375" style="468" customWidth="1"/>
    <col min="3" max="4" width="10.875" style="468" customWidth="1"/>
    <col min="5" max="5" width="10.875" style="42"/>
    <col min="6" max="16384" width="10.875" style="468"/>
  </cols>
  <sheetData>
    <row r="2" spans="2:9" ht="20.100000000000001" customHeight="1">
      <c r="B2" s="1156" t="s">
        <v>467</v>
      </c>
      <c r="C2" s="1156"/>
      <c r="D2" s="1156"/>
      <c r="E2" s="1156"/>
      <c r="F2" s="1156"/>
      <c r="G2" s="1156"/>
      <c r="H2" s="1156"/>
      <c r="I2" s="1156"/>
    </row>
    <row r="4" spans="2:9" ht="20.100000000000001" customHeight="1">
      <c r="B4" s="220" t="s">
        <v>466</v>
      </c>
      <c r="C4" s="221">
        <v>2017</v>
      </c>
      <c r="D4" s="221">
        <v>2016</v>
      </c>
      <c r="E4" s="592">
        <v>2015</v>
      </c>
      <c r="F4" s="592">
        <v>2014</v>
      </c>
      <c r="G4" s="461">
        <v>2013</v>
      </c>
      <c r="H4" s="461">
        <v>2012</v>
      </c>
    </row>
    <row r="5" spans="2:9" ht="20.100000000000001" customHeight="1">
      <c r="B5" s="431" t="s">
        <v>458</v>
      </c>
      <c r="C5" s="651">
        <v>2674</v>
      </c>
      <c r="D5" s="651">
        <v>2737</v>
      </c>
      <c r="E5" s="651">
        <v>2413</v>
      </c>
      <c r="F5" s="651">
        <v>2224</v>
      </c>
      <c r="G5" s="651">
        <v>2277</v>
      </c>
      <c r="H5" s="651">
        <f>SUM(H6:H13)</f>
        <v>2168</v>
      </c>
    </row>
    <row r="6" spans="2:9" ht="20.100000000000001" customHeight="1">
      <c r="B6" s="363" t="s">
        <v>457</v>
      </c>
      <c r="C6" s="186" t="s">
        <v>14</v>
      </c>
      <c r="D6" s="351" t="s">
        <v>14</v>
      </c>
      <c r="E6" s="351" t="s">
        <v>14</v>
      </c>
      <c r="F6" s="351">
        <v>59</v>
      </c>
      <c r="G6" s="358">
        <v>82</v>
      </c>
      <c r="H6" s="358">
        <v>64</v>
      </c>
    </row>
    <row r="7" spans="2:9" ht="20.100000000000001" customHeight="1">
      <c r="B7" s="363" t="s">
        <v>40</v>
      </c>
      <c r="C7" s="186" t="s">
        <v>14</v>
      </c>
      <c r="D7" s="351" t="s">
        <v>14</v>
      </c>
      <c r="E7" s="351" t="s">
        <v>14</v>
      </c>
      <c r="F7" s="351">
        <v>9</v>
      </c>
      <c r="G7" s="358">
        <v>45</v>
      </c>
      <c r="H7" s="358">
        <v>58</v>
      </c>
    </row>
    <row r="8" spans="2:9" ht="20.100000000000001" customHeight="1">
      <c r="B8" s="363" t="s">
        <v>456</v>
      </c>
      <c r="C8" s="186" t="s">
        <v>14</v>
      </c>
      <c r="D8" s="351" t="s">
        <v>14</v>
      </c>
      <c r="E8" s="351" t="s">
        <v>14</v>
      </c>
      <c r="F8" s="351" t="s">
        <v>14</v>
      </c>
      <c r="G8" s="358" t="s">
        <v>14</v>
      </c>
      <c r="H8" s="358" t="s">
        <v>14</v>
      </c>
    </row>
    <row r="9" spans="2:9" ht="20.100000000000001" customHeight="1">
      <c r="B9" s="363" t="s">
        <v>455</v>
      </c>
      <c r="C9" s="186">
        <v>53</v>
      </c>
      <c r="D9" s="351">
        <v>6</v>
      </c>
      <c r="E9" s="351" t="s">
        <v>14</v>
      </c>
      <c r="F9" s="351" t="s">
        <v>14</v>
      </c>
      <c r="G9" s="358" t="s">
        <v>14</v>
      </c>
      <c r="H9" s="358" t="s">
        <v>14</v>
      </c>
    </row>
    <row r="10" spans="2:9" ht="20.100000000000001" customHeight="1">
      <c r="B10" s="363" t="s">
        <v>454</v>
      </c>
      <c r="C10" s="186">
        <v>640</v>
      </c>
      <c r="D10" s="351">
        <v>618</v>
      </c>
      <c r="E10" s="351">
        <v>614</v>
      </c>
      <c r="F10" s="351">
        <v>576</v>
      </c>
      <c r="G10" s="358">
        <v>575</v>
      </c>
      <c r="H10" s="358">
        <v>622</v>
      </c>
    </row>
    <row r="11" spans="2:9" ht="20.100000000000001" customHeight="1">
      <c r="B11" s="363" t="s">
        <v>453</v>
      </c>
      <c r="C11" s="186">
        <v>112</v>
      </c>
      <c r="D11" s="351">
        <v>141</v>
      </c>
      <c r="E11" s="351">
        <v>158</v>
      </c>
      <c r="F11" s="351">
        <v>171</v>
      </c>
      <c r="G11" s="358">
        <v>195</v>
      </c>
      <c r="H11" s="358">
        <v>184</v>
      </c>
    </row>
    <row r="12" spans="2:9" ht="20.100000000000001" customHeight="1">
      <c r="B12" s="363" t="s">
        <v>452</v>
      </c>
      <c r="C12" s="186">
        <v>551</v>
      </c>
      <c r="D12" s="351">
        <v>595</v>
      </c>
      <c r="E12" s="351">
        <v>389</v>
      </c>
      <c r="F12" s="351">
        <v>333</v>
      </c>
      <c r="G12" s="358">
        <v>416</v>
      </c>
      <c r="H12" s="358">
        <v>395</v>
      </c>
    </row>
    <row r="13" spans="2:9" ht="20.100000000000001" customHeight="1">
      <c r="B13" s="363" t="s">
        <v>421</v>
      </c>
      <c r="C13" s="186">
        <v>1318</v>
      </c>
      <c r="D13" s="351">
        <v>1377</v>
      </c>
      <c r="E13" s="351">
        <v>1252</v>
      </c>
      <c r="F13" s="351">
        <v>1076</v>
      </c>
      <c r="G13" s="358">
        <v>964</v>
      </c>
      <c r="H13" s="358">
        <v>845</v>
      </c>
    </row>
    <row r="14" spans="2:9" ht="20.100000000000001" customHeight="1">
      <c r="B14" s="433" t="s">
        <v>451</v>
      </c>
      <c r="C14" s="432">
        <v>759</v>
      </c>
      <c r="D14" s="432">
        <v>621</v>
      </c>
      <c r="E14" s="432">
        <v>581</v>
      </c>
      <c r="F14" s="432">
        <v>614</v>
      </c>
      <c r="G14" s="432">
        <v>617</v>
      </c>
      <c r="H14" s="432">
        <f>SUM(H15:H18)</f>
        <v>615</v>
      </c>
    </row>
    <row r="15" spans="2:9" ht="20.100000000000001" customHeight="1">
      <c r="B15" s="363" t="s">
        <v>425</v>
      </c>
      <c r="C15" s="186">
        <v>130</v>
      </c>
      <c r="D15" s="363">
        <v>68</v>
      </c>
      <c r="E15" s="363">
        <v>49</v>
      </c>
      <c r="F15" s="363">
        <v>54</v>
      </c>
      <c r="G15" s="363">
        <v>62</v>
      </c>
      <c r="H15" s="363">
        <v>44</v>
      </c>
    </row>
    <row r="16" spans="2:9" ht="20.100000000000001" customHeight="1">
      <c r="B16" s="363" t="s">
        <v>450</v>
      </c>
      <c r="C16" s="186">
        <v>32</v>
      </c>
      <c r="D16" s="363">
        <v>29</v>
      </c>
      <c r="E16" s="363">
        <v>30</v>
      </c>
      <c r="F16" s="363">
        <v>35</v>
      </c>
      <c r="G16" s="363">
        <v>28</v>
      </c>
      <c r="H16" s="363">
        <v>31</v>
      </c>
    </row>
    <row r="17" spans="2:8" ht="20.100000000000001" customHeight="1">
      <c r="B17" s="363" t="s">
        <v>449</v>
      </c>
      <c r="C17" s="186">
        <v>14</v>
      </c>
      <c r="D17" s="363">
        <v>15</v>
      </c>
      <c r="E17" s="363">
        <v>15</v>
      </c>
      <c r="F17" s="363">
        <v>14</v>
      </c>
      <c r="G17" s="363">
        <v>16</v>
      </c>
      <c r="H17" s="363">
        <v>19</v>
      </c>
    </row>
    <row r="18" spans="2:8" ht="20.100000000000001" customHeight="1">
      <c r="B18" s="363" t="s">
        <v>448</v>
      </c>
      <c r="C18" s="186">
        <v>583</v>
      </c>
      <c r="D18" s="363">
        <v>509</v>
      </c>
      <c r="E18" s="363">
        <v>487</v>
      </c>
      <c r="F18" s="363">
        <v>511</v>
      </c>
      <c r="G18" s="363">
        <v>511</v>
      </c>
      <c r="H18" s="363">
        <v>521</v>
      </c>
    </row>
    <row r="19" spans="2:8" ht="20.100000000000001" customHeight="1">
      <c r="B19" s="433" t="s">
        <v>447</v>
      </c>
      <c r="C19" s="432">
        <v>771</v>
      </c>
      <c r="D19" s="432">
        <v>795</v>
      </c>
      <c r="E19" s="432">
        <v>874</v>
      </c>
      <c r="F19" s="432">
        <v>1163</v>
      </c>
      <c r="G19" s="432">
        <v>1237</v>
      </c>
      <c r="H19" s="432">
        <f>SUM(H20:H26)</f>
        <v>1080</v>
      </c>
    </row>
    <row r="20" spans="2:8" ht="20.100000000000001" customHeight="1">
      <c r="B20" s="363" t="s">
        <v>446</v>
      </c>
      <c r="C20" s="186">
        <v>58</v>
      </c>
      <c r="D20" s="351">
        <v>90</v>
      </c>
      <c r="E20" s="351">
        <v>96</v>
      </c>
      <c r="F20" s="351">
        <v>79</v>
      </c>
      <c r="G20" s="358">
        <v>82</v>
      </c>
      <c r="H20" s="358">
        <v>90</v>
      </c>
    </row>
    <row r="21" spans="2:8" ht="20.100000000000001" customHeight="1">
      <c r="B21" s="363" t="s">
        <v>424</v>
      </c>
      <c r="C21" s="186">
        <v>63</v>
      </c>
      <c r="D21" s="351">
        <v>67</v>
      </c>
      <c r="E21" s="351">
        <v>66</v>
      </c>
      <c r="F21" s="351">
        <v>61</v>
      </c>
      <c r="G21" s="358">
        <v>71</v>
      </c>
      <c r="H21" s="358">
        <v>70</v>
      </c>
    </row>
    <row r="22" spans="2:8" ht="20.100000000000001" customHeight="1">
      <c r="B22" s="363" t="s">
        <v>445</v>
      </c>
      <c r="C22" s="186">
        <v>1</v>
      </c>
      <c r="D22" s="351">
        <v>1</v>
      </c>
      <c r="E22" s="351">
        <v>1</v>
      </c>
      <c r="F22" s="351">
        <v>1</v>
      </c>
      <c r="G22" s="358">
        <v>1</v>
      </c>
      <c r="H22" s="358" t="s">
        <v>14</v>
      </c>
    </row>
    <row r="23" spans="2:8" ht="20.100000000000001" customHeight="1">
      <c r="B23" s="363" t="s">
        <v>444</v>
      </c>
      <c r="C23" s="186" t="s">
        <v>14</v>
      </c>
      <c r="D23" s="351" t="s">
        <v>14</v>
      </c>
      <c r="E23" s="351" t="s">
        <v>14</v>
      </c>
      <c r="F23" s="351" t="s">
        <v>14</v>
      </c>
      <c r="G23" s="358" t="s">
        <v>14</v>
      </c>
      <c r="H23" s="358" t="s">
        <v>14</v>
      </c>
    </row>
    <row r="24" spans="2:8" ht="20.100000000000001" customHeight="1">
      <c r="B24" s="363" t="s">
        <v>423</v>
      </c>
      <c r="C24" s="186">
        <v>64</v>
      </c>
      <c r="D24" s="351">
        <v>62</v>
      </c>
      <c r="E24" s="351">
        <v>58</v>
      </c>
      <c r="F24" s="351">
        <v>61</v>
      </c>
      <c r="G24" s="358">
        <v>66</v>
      </c>
      <c r="H24" s="358">
        <v>61</v>
      </c>
    </row>
    <row r="25" spans="2:8" ht="20.100000000000001" customHeight="1">
      <c r="B25" s="363" t="s">
        <v>422</v>
      </c>
      <c r="C25" s="186">
        <v>585</v>
      </c>
      <c r="D25" s="351">
        <v>575</v>
      </c>
      <c r="E25" s="351">
        <v>573</v>
      </c>
      <c r="F25" s="351">
        <v>555</v>
      </c>
      <c r="G25" s="358">
        <v>558</v>
      </c>
      <c r="H25" s="358">
        <v>560</v>
      </c>
    </row>
    <row r="26" spans="2:8" ht="20.100000000000001" customHeight="1">
      <c r="B26" s="365" t="s">
        <v>419</v>
      </c>
      <c r="C26" s="186" t="s">
        <v>14</v>
      </c>
      <c r="D26" s="126" t="s">
        <v>14</v>
      </c>
      <c r="E26" s="126">
        <v>80</v>
      </c>
      <c r="F26" s="126">
        <v>406</v>
      </c>
      <c r="G26" s="359">
        <v>459</v>
      </c>
      <c r="H26" s="359">
        <v>299</v>
      </c>
    </row>
    <row r="27" spans="2:8" ht="20.100000000000001" customHeight="1">
      <c r="B27" s="433" t="s">
        <v>443</v>
      </c>
      <c r="C27" s="432">
        <v>1212</v>
      </c>
      <c r="D27" s="432">
        <v>944</v>
      </c>
      <c r="E27" s="432">
        <v>896</v>
      </c>
      <c r="F27" s="432">
        <v>884</v>
      </c>
      <c r="G27" s="432">
        <v>883</v>
      </c>
      <c r="H27" s="432">
        <f>SUM(H28:H34)</f>
        <v>928</v>
      </c>
    </row>
    <row r="28" spans="2:8" ht="20.100000000000001" customHeight="1">
      <c r="B28" s="363" t="s">
        <v>442</v>
      </c>
      <c r="C28" s="186">
        <v>388</v>
      </c>
      <c r="D28" s="351">
        <v>391</v>
      </c>
      <c r="E28" s="351">
        <v>354</v>
      </c>
      <c r="F28" s="351">
        <v>367</v>
      </c>
      <c r="G28" s="358">
        <v>366</v>
      </c>
      <c r="H28" s="358">
        <v>394</v>
      </c>
    </row>
    <row r="29" spans="2:8" ht="20.100000000000001" customHeight="1">
      <c r="B29" s="363" t="s">
        <v>441</v>
      </c>
      <c r="C29" s="186">
        <v>216</v>
      </c>
      <c r="D29" s="351">
        <v>160</v>
      </c>
      <c r="E29" s="351">
        <v>133</v>
      </c>
      <c r="F29" s="351">
        <v>139</v>
      </c>
      <c r="G29" s="358">
        <v>129</v>
      </c>
      <c r="H29" s="358">
        <v>124</v>
      </c>
    </row>
    <row r="30" spans="2:8" ht="20.100000000000001" customHeight="1">
      <c r="B30" s="363" t="s">
        <v>440</v>
      </c>
      <c r="C30" s="186" t="s">
        <v>14</v>
      </c>
      <c r="D30" s="351" t="s">
        <v>14</v>
      </c>
      <c r="E30" s="351"/>
      <c r="F30" s="351"/>
      <c r="G30" s="358"/>
      <c r="H30" s="358"/>
    </row>
    <row r="31" spans="2:8" ht="20.100000000000001" customHeight="1">
      <c r="B31" s="648" t="s">
        <v>437</v>
      </c>
      <c r="C31" s="186" t="s">
        <v>14</v>
      </c>
      <c r="D31" s="351" t="s">
        <v>14</v>
      </c>
      <c r="E31" s="351" t="s">
        <v>14</v>
      </c>
      <c r="F31" s="351" t="s">
        <v>14</v>
      </c>
      <c r="G31" s="358" t="s">
        <v>14</v>
      </c>
      <c r="H31" s="358">
        <v>23</v>
      </c>
    </row>
    <row r="32" spans="2:8" ht="20.100000000000001" customHeight="1">
      <c r="B32" s="363" t="s">
        <v>436</v>
      </c>
      <c r="C32" s="186" t="s">
        <v>14</v>
      </c>
      <c r="D32" s="351" t="s">
        <v>14</v>
      </c>
      <c r="E32" s="351" t="s">
        <v>14</v>
      </c>
      <c r="F32" s="351" t="s">
        <v>14</v>
      </c>
      <c r="G32" s="358">
        <v>52</v>
      </c>
      <c r="H32" s="358">
        <v>70</v>
      </c>
    </row>
    <row r="33" spans="2:8" ht="20.100000000000001" customHeight="1">
      <c r="B33" s="363" t="s">
        <v>435</v>
      </c>
      <c r="C33" s="186">
        <v>527</v>
      </c>
      <c r="D33" s="351">
        <v>304</v>
      </c>
      <c r="E33" s="351">
        <v>308</v>
      </c>
      <c r="F33" s="351">
        <v>285</v>
      </c>
      <c r="G33" s="358">
        <v>256</v>
      </c>
      <c r="H33" s="358">
        <v>246</v>
      </c>
    </row>
    <row r="34" spans="2:8" ht="20.100000000000001" customHeight="1">
      <c r="B34" s="363" t="s">
        <v>420</v>
      </c>
      <c r="C34" s="186">
        <v>81</v>
      </c>
      <c r="D34" s="351">
        <v>89</v>
      </c>
      <c r="E34" s="351">
        <v>101</v>
      </c>
      <c r="F34" s="351">
        <v>93</v>
      </c>
      <c r="G34" s="358">
        <v>80</v>
      </c>
      <c r="H34" s="358">
        <v>71</v>
      </c>
    </row>
    <row r="35" spans="2:8" ht="20.100000000000001" customHeight="1">
      <c r="B35" s="433" t="s">
        <v>434</v>
      </c>
      <c r="C35" s="432">
        <v>1247</v>
      </c>
      <c r="D35" s="432">
        <v>1350</v>
      </c>
      <c r="E35" s="432">
        <v>1290</v>
      </c>
      <c r="F35" s="432">
        <v>1178</v>
      </c>
      <c r="G35" s="432">
        <v>1170</v>
      </c>
      <c r="H35" s="432">
        <f>SUM(H36:H41)</f>
        <v>1089</v>
      </c>
    </row>
    <row r="36" spans="2:8" ht="20.100000000000001" customHeight="1">
      <c r="B36" s="363" t="s">
        <v>433</v>
      </c>
      <c r="C36" s="186">
        <v>114</v>
      </c>
      <c r="D36" s="351">
        <v>91</v>
      </c>
      <c r="E36" s="351">
        <v>28</v>
      </c>
      <c r="F36" s="351">
        <v>23</v>
      </c>
      <c r="G36" s="358">
        <v>25</v>
      </c>
      <c r="H36" s="358">
        <v>29</v>
      </c>
    </row>
    <row r="37" spans="2:8" ht="20.100000000000001" customHeight="1">
      <c r="B37" s="363" t="s">
        <v>432</v>
      </c>
      <c r="C37" s="186">
        <v>87</v>
      </c>
      <c r="D37" s="351">
        <v>78</v>
      </c>
      <c r="E37" s="351">
        <v>62</v>
      </c>
      <c r="F37" s="351">
        <v>66</v>
      </c>
      <c r="G37" s="358">
        <v>59</v>
      </c>
      <c r="H37" s="358">
        <v>54</v>
      </c>
    </row>
    <row r="38" spans="2:8" ht="20.100000000000001" customHeight="1">
      <c r="B38" s="363" t="s">
        <v>431</v>
      </c>
      <c r="C38" s="186">
        <v>80</v>
      </c>
      <c r="D38" s="351">
        <v>53</v>
      </c>
      <c r="E38" s="351">
        <v>59</v>
      </c>
      <c r="F38" s="351">
        <v>63</v>
      </c>
      <c r="G38" s="358">
        <v>46</v>
      </c>
      <c r="H38" s="358">
        <v>7</v>
      </c>
    </row>
    <row r="39" spans="2:8" ht="20.100000000000001" customHeight="1">
      <c r="B39" s="363" t="s">
        <v>430</v>
      </c>
      <c r="C39" s="186">
        <v>519</v>
      </c>
      <c r="D39" s="351">
        <v>657</v>
      </c>
      <c r="E39" s="351">
        <v>676</v>
      </c>
      <c r="F39" s="351">
        <v>594</v>
      </c>
      <c r="G39" s="358">
        <v>605</v>
      </c>
      <c r="H39" s="358">
        <v>605</v>
      </c>
    </row>
    <row r="40" spans="2:8" ht="20.100000000000001" customHeight="1">
      <c r="B40" s="363" t="s">
        <v>429</v>
      </c>
      <c r="C40" s="186">
        <v>151</v>
      </c>
      <c r="D40" s="351">
        <v>165</v>
      </c>
      <c r="E40" s="351">
        <v>153</v>
      </c>
      <c r="F40" s="351">
        <v>135</v>
      </c>
      <c r="G40" s="358">
        <v>129</v>
      </c>
      <c r="H40" s="358">
        <v>127</v>
      </c>
    </row>
    <row r="41" spans="2:8" ht="20.100000000000001" customHeight="1">
      <c r="B41" s="365" t="s">
        <v>428</v>
      </c>
      <c r="C41" s="186">
        <v>296</v>
      </c>
      <c r="D41" s="126">
        <v>306</v>
      </c>
      <c r="E41" s="126">
        <v>312</v>
      </c>
      <c r="F41" s="126">
        <v>297</v>
      </c>
      <c r="G41" s="359">
        <v>306</v>
      </c>
      <c r="H41" s="359">
        <v>267</v>
      </c>
    </row>
    <row r="42" spans="2:8" ht="20.100000000000001" customHeight="1">
      <c r="B42" s="647" t="s">
        <v>427</v>
      </c>
      <c r="C42" s="586">
        <v>6663</v>
      </c>
      <c r="D42" s="586">
        <v>6447</v>
      </c>
      <c r="E42" s="586">
        <v>6054</v>
      </c>
      <c r="F42" s="586">
        <v>6063</v>
      </c>
      <c r="G42" s="586">
        <v>6184</v>
      </c>
      <c r="H42" s="586">
        <f>H5+H14+H19+H27+H35</f>
        <v>5880</v>
      </c>
    </row>
    <row r="43" spans="2:8" ht="20.100000000000001" customHeight="1">
      <c r="B43" s="646" t="s">
        <v>426</v>
      </c>
      <c r="C43" s="645">
        <v>1914</v>
      </c>
      <c r="D43" s="644">
        <v>1894</v>
      </c>
      <c r="E43" s="644">
        <v>1828</v>
      </c>
      <c r="F43" s="644">
        <v>1988</v>
      </c>
      <c r="G43" s="644">
        <v>1955</v>
      </c>
      <c r="H43" s="644">
        <f>SUM(H44:H50)</f>
        <v>1635</v>
      </c>
    </row>
    <row r="44" spans="2:8" ht="20.100000000000001" customHeight="1">
      <c r="B44" s="363" t="s">
        <v>425</v>
      </c>
      <c r="C44" s="376">
        <v>80</v>
      </c>
      <c r="D44" s="351">
        <v>20</v>
      </c>
      <c r="E44" s="351" t="s">
        <v>14</v>
      </c>
      <c r="F44" s="351">
        <v>10</v>
      </c>
      <c r="G44" s="358">
        <v>16</v>
      </c>
      <c r="H44" s="358" t="s">
        <v>14</v>
      </c>
    </row>
    <row r="45" spans="2:8" ht="20.100000000000001" customHeight="1">
      <c r="B45" s="363" t="s">
        <v>424</v>
      </c>
      <c r="C45" s="376">
        <v>53</v>
      </c>
      <c r="D45" s="351">
        <v>51</v>
      </c>
      <c r="E45" s="351">
        <v>50</v>
      </c>
      <c r="F45" s="351">
        <v>51</v>
      </c>
      <c r="G45" s="358">
        <v>61</v>
      </c>
      <c r="H45" s="358">
        <v>61</v>
      </c>
    </row>
    <row r="46" spans="2:8" ht="20.100000000000001" customHeight="1">
      <c r="B46" s="363" t="s">
        <v>423</v>
      </c>
      <c r="C46" s="376">
        <v>64</v>
      </c>
      <c r="D46" s="351">
        <v>62</v>
      </c>
      <c r="E46" s="351">
        <v>58</v>
      </c>
      <c r="F46" s="351">
        <v>61</v>
      </c>
      <c r="G46" s="358">
        <v>66</v>
      </c>
      <c r="H46" s="358">
        <v>60</v>
      </c>
    </row>
    <row r="47" spans="2:8" ht="20.100000000000001" customHeight="1">
      <c r="B47" s="363" t="s">
        <v>422</v>
      </c>
      <c r="C47" s="376">
        <v>395</v>
      </c>
      <c r="D47" s="351">
        <v>379</v>
      </c>
      <c r="E47" s="351">
        <v>383</v>
      </c>
      <c r="F47" s="351">
        <v>381</v>
      </c>
      <c r="G47" s="358">
        <v>385</v>
      </c>
      <c r="H47" s="358">
        <v>364</v>
      </c>
    </row>
    <row r="48" spans="2:8" ht="20.100000000000001" customHeight="1">
      <c r="B48" s="363" t="s">
        <v>421</v>
      </c>
      <c r="C48" s="376">
        <v>1317</v>
      </c>
      <c r="D48" s="351">
        <v>1375</v>
      </c>
      <c r="E48" s="351">
        <v>1250</v>
      </c>
      <c r="F48" s="351">
        <v>1075</v>
      </c>
      <c r="G48" s="358">
        <v>962</v>
      </c>
      <c r="H48" s="358">
        <v>844</v>
      </c>
    </row>
    <row r="49" spans="2:8" ht="20.100000000000001" customHeight="1">
      <c r="B49" s="363" t="s">
        <v>420</v>
      </c>
      <c r="C49" s="376">
        <v>5</v>
      </c>
      <c r="D49" s="351">
        <v>7</v>
      </c>
      <c r="E49" s="351">
        <v>7</v>
      </c>
      <c r="F49" s="351">
        <v>6</v>
      </c>
      <c r="G49" s="358">
        <v>7</v>
      </c>
      <c r="H49" s="358">
        <v>7</v>
      </c>
    </row>
    <row r="50" spans="2:8" s="1151" customFormat="1" ht="20.100000000000001" customHeight="1">
      <c r="B50" s="643" t="s">
        <v>419</v>
      </c>
      <c r="C50" s="642" t="s">
        <v>14</v>
      </c>
      <c r="D50" s="641" t="s">
        <v>14</v>
      </c>
      <c r="E50" s="641">
        <v>80</v>
      </c>
      <c r="F50" s="641">
        <v>404</v>
      </c>
      <c r="G50" s="640">
        <v>458</v>
      </c>
      <c r="H50" s="640">
        <v>299</v>
      </c>
    </row>
    <row r="52" spans="2:8" ht="20.100000000000001" customHeight="1">
      <c r="B52" s="655" t="s">
        <v>465</v>
      </c>
    </row>
  </sheetData>
  <mergeCells count="1">
    <mergeCell ref="B2:I2"/>
  </mergeCells>
  <pageMargins left="0.74803149606299213" right="0.74803149606299213" top="0.98425196850393704" bottom="0.98425196850393704" header="0.51181102362204722" footer="0.51181102362204722"/>
  <pageSetup paperSize="9" scale="65" orientation="portrait" horizontalDpi="4294967292" verticalDpi="4294967292"/>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41">
    <tabColor rgb="FF733E8D"/>
  </sheetPr>
  <dimension ref="B2:M174"/>
  <sheetViews>
    <sheetView showGridLines="0" view="pageBreakPreview" zoomScaleNormal="120" zoomScaleSheetLayoutView="100" zoomScalePageLayoutView="120" workbookViewId="0">
      <selection activeCell="C17" sqref="C17"/>
    </sheetView>
  </sheetViews>
  <sheetFormatPr defaultColWidth="10.875" defaultRowHeight="20.100000000000001" customHeight="1"/>
  <cols>
    <col min="1" max="1" width="5.5" style="468" customWidth="1"/>
    <col min="2" max="2" width="39.375" style="468" customWidth="1"/>
    <col min="3" max="3" width="10.875" style="468" customWidth="1"/>
    <col min="4" max="7" width="10.875" style="468"/>
    <col min="8" max="8" width="12" style="468" customWidth="1"/>
    <col min="9" max="16384" width="10.875" style="468"/>
  </cols>
  <sheetData>
    <row r="2" spans="2:13" ht="20.100000000000001" customHeight="1">
      <c r="B2" s="1156" t="str">
        <f>UPPER("Changes in oil, bitumen and gas reserves")</f>
        <v>CHANGES IN OIL, BITUMEN AND GAS RESERVES</v>
      </c>
      <c r="C2" s="1156"/>
      <c r="D2" s="1156"/>
      <c r="E2" s="1156"/>
      <c r="F2" s="1156"/>
      <c r="G2" s="1156"/>
      <c r="H2" s="1156"/>
      <c r="I2" s="1156"/>
      <c r="J2" s="1156"/>
      <c r="K2" s="1156"/>
      <c r="L2" s="1156"/>
      <c r="M2" s="1156"/>
    </row>
    <row r="4" spans="2:13" ht="20.100000000000001" customHeight="1">
      <c r="B4" s="719" t="s">
        <v>524</v>
      </c>
      <c r="C4" s="718"/>
      <c r="D4" s="718"/>
      <c r="E4" s="718"/>
      <c r="F4" s="718"/>
      <c r="G4" s="718"/>
      <c r="H4" s="718"/>
      <c r="I4" s="718"/>
      <c r="J4" s="718"/>
      <c r="K4" s="718"/>
      <c r="L4" s="718"/>
      <c r="M4" s="717"/>
    </row>
    <row r="5" spans="2:13" ht="20.100000000000001" customHeight="1">
      <c r="B5" s="719" t="s">
        <v>523</v>
      </c>
      <c r="C5" s="718"/>
      <c r="D5" s="718"/>
      <c r="E5" s="718"/>
      <c r="F5" s="718"/>
      <c r="G5" s="718"/>
      <c r="H5" s="718"/>
      <c r="I5" s="718"/>
      <c r="J5" s="718"/>
      <c r="K5" s="718"/>
      <c r="L5" s="718"/>
      <c r="M5" s="717"/>
    </row>
    <row r="6" spans="2:13" ht="20.100000000000001" customHeight="1">
      <c r="B6" s="717" t="s">
        <v>522</v>
      </c>
      <c r="C6" s="717"/>
      <c r="D6" s="717"/>
      <c r="E6" s="717"/>
      <c r="F6" s="717"/>
      <c r="G6" s="717"/>
      <c r="H6" s="717"/>
      <c r="I6" s="717"/>
      <c r="J6" s="717"/>
      <c r="K6" s="717"/>
      <c r="L6" s="717"/>
      <c r="M6" s="717"/>
    </row>
    <row r="7" spans="2:13" ht="20.100000000000001" customHeight="1">
      <c r="B7" s="717" t="s">
        <v>521</v>
      </c>
      <c r="C7" s="717"/>
      <c r="D7" s="717"/>
      <c r="E7" s="717"/>
      <c r="F7" s="717"/>
      <c r="G7" s="717"/>
      <c r="H7" s="717"/>
      <c r="I7" s="717"/>
      <c r="J7" s="717"/>
      <c r="K7" s="717"/>
      <c r="L7" s="717"/>
      <c r="M7" s="717"/>
    </row>
    <row r="8" spans="2:13" ht="20.100000000000001" customHeight="1">
      <c r="B8" s="717" t="s">
        <v>520</v>
      </c>
      <c r="C8" s="717"/>
      <c r="D8" s="717"/>
      <c r="E8" s="717"/>
      <c r="F8" s="717"/>
      <c r="G8" s="717"/>
      <c r="H8" s="717"/>
      <c r="I8" s="717"/>
      <c r="J8" s="717"/>
      <c r="K8" s="717"/>
      <c r="L8" s="717"/>
      <c r="M8" s="717"/>
    </row>
    <row r="9" spans="2:13" ht="20.100000000000001" customHeight="1">
      <c r="B9" s="716" t="s">
        <v>519</v>
      </c>
      <c r="C9" s="715"/>
      <c r="D9" s="715"/>
      <c r="E9" s="715"/>
      <c r="F9" s="715"/>
      <c r="G9" s="715"/>
      <c r="H9" s="715"/>
      <c r="I9" s="715"/>
      <c r="J9" s="715"/>
      <c r="K9" s="715"/>
      <c r="L9" s="715"/>
      <c r="M9" s="715"/>
    </row>
    <row r="10" spans="2:13" ht="20.100000000000001" customHeight="1">
      <c r="B10" s="716" t="s">
        <v>518</v>
      </c>
      <c r="C10" s="715"/>
      <c r="D10" s="715"/>
      <c r="E10" s="715"/>
      <c r="F10" s="715"/>
      <c r="G10" s="715"/>
      <c r="H10" s="715"/>
      <c r="I10" s="715"/>
      <c r="J10" s="715"/>
      <c r="K10" s="715"/>
      <c r="L10" s="715"/>
      <c r="M10" s="715"/>
    </row>
    <row r="11" spans="2:13" ht="20.100000000000001" customHeight="1">
      <c r="B11" s="716" t="s">
        <v>517</v>
      </c>
      <c r="C11" s="715"/>
      <c r="D11" s="715"/>
      <c r="E11" s="715"/>
      <c r="F11" s="715"/>
      <c r="G11" s="715"/>
      <c r="H11" s="715"/>
      <c r="I11" s="715"/>
      <c r="J11" s="715"/>
      <c r="K11" s="715"/>
      <c r="L11" s="715"/>
      <c r="M11" s="715"/>
    </row>
    <row r="12" spans="2:13" ht="20.100000000000001" customHeight="1">
      <c r="B12" s="716" t="s">
        <v>1094</v>
      </c>
      <c r="C12" s="715"/>
      <c r="D12" s="715"/>
      <c r="E12" s="715"/>
      <c r="F12" s="715"/>
      <c r="G12" s="715"/>
      <c r="H12" s="715"/>
      <c r="I12" s="715"/>
      <c r="J12" s="715"/>
      <c r="K12" s="715"/>
      <c r="L12" s="715"/>
      <c r="M12" s="715"/>
    </row>
    <row r="13" spans="2:13" s="1153" customFormat="1" ht="20.100000000000001" customHeight="1">
      <c r="B13" s="716" t="s">
        <v>1095</v>
      </c>
      <c r="C13" s="1154"/>
      <c r="D13" s="1154"/>
      <c r="E13" s="1154"/>
      <c r="F13" s="1154"/>
      <c r="G13" s="1154"/>
      <c r="H13" s="1154"/>
      <c r="I13" s="1154"/>
      <c r="J13" s="1154"/>
      <c r="K13" s="1154"/>
      <c r="L13" s="1154"/>
      <c r="M13" s="1154"/>
    </row>
    <row r="14" spans="2:13" ht="20.100000000000001" customHeight="1">
      <c r="B14" s="716" t="s">
        <v>516</v>
      </c>
      <c r="C14" s="715"/>
      <c r="D14" s="715"/>
      <c r="E14" s="715"/>
      <c r="F14" s="715"/>
      <c r="G14" s="715"/>
      <c r="H14" s="715"/>
      <c r="I14" s="715"/>
      <c r="J14" s="715"/>
      <c r="K14" s="715"/>
      <c r="L14" s="715"/>
      <c r="M14" s="715"/>
    </row>
    <row r="15" spans="2:13" ht="20.100000000000001" customHeight="1">
      <c r="B15" s="716" t="s">
        <v>515</v>
      </c>
      <c r="C15" s="715"/>
      <c r="D15" s="715"/>
      <c r="E15" s="715"/>
      <c r="F15" s="715"/>
      <c r="G15" s="715"/>
      <c r="H15" s="715"/>
      <c r="I15" s="715"/>
      <c r="J15" s="715"/>
      <c r="K15" s="715"/>
      <c r="L15" s="715"/>
      <c r="M15" s="715"/>
    </row>
    <row r="16" spans="2:13" ht="20.100000000000001" customHeight="1">
      <c r="B16" s="716" t="s">
        <v>514</v>
      </c>
      <c r="C16" s="715"/>
      <c r="D16" s="715"/>
      <c r="E16" s="715"/>
      <c r="F16" s="715"/>
      <c r="G16" s="715"/>
      <c r="H16" s="715"/>
      <c r="I16" s="715"/>
      <c r="J16" s="715"/>
      <c r="K16" s="715"/>
      <c r="L16" s="715"/>
      <c r="M16" s="715"/>
    </row>
    <row r="17" spans="2:13" ht="20.100000000000001" customHeight="1">
      <c r="B17" s="716" t="s">
        <v>513</v>
      </c>
      <c r="C17" s="715"/>
      <c r="D17" s="715"/>
      <c r="E17" s="715"/>
      <c r="F17" s="715"/>
      <c r="G17" s="715"/>
      <c r="H17" s="715"/>
      <c r="I17" s="715"/>
      <c r="J17" s="715"/>
      <c r="K17" s="715"/>
      <c r="L17" s="715"/>
      <c r="M17" s="715"/>
    </row>
    <row r="18" spans="2:13" ht="20.100000000000001" customHeight="1">
      <c r="B18" s="716" t="s">
        <v>512</v>
      </c>
      <c r="C18" s="715"/>
      <c r="D18" s="715"/>
      <c r="E18" s="715"/>
      <c r="F18" s="715"/>
      <c r="G18" s="715"/>
      <c r="H18" s="715"/>
      <c r="I18" s="715"/>
      <c r="J18" s="715"/>
      <c r="K18" s="715"/>
      <c r="L18" s="715"/>
      <c r="M18" s="715"/>
    </row>
    <row r="19" spans="2:13" ht="20.100000000000001" customHeight="1">
      <c r="B19" s="716" t="s">
        <v>511</v>
      </c>
      <c r="C19" s="715"/>
      <c r="D19" s="715"/>
      <c r="E19" s="715"/>
      <c r="F19" s="715"/>
      <c r="G19" s="715"/>
      <c r="H19" s="715"/>
      <c r="I19" s="715"/>
      <c r="J19" s="715"/>
      <c r="K19" s="715"/>
      <c r="L19" s="715"/>
      <c r="M19" s="715"/>
    </row>
    <row r="20" spans="2:13" ht="20.100000000000001" customHeight="1">
      <c r="B20" s="716" t="s">
        <v>510</v>
      </c>
      <c r="C20" s="715"/>
      <c r="D20" s="715"/>
      <c r="E20" s="715"/>
      <c r="F20" s="715"/>
      <c r="G20" s="715"/>
      <c r="H20" s="715"/>
      <c r="I20" s="715"/>
      <c r="J20" s="715"/>
      <c r="K20" s="715"/>
      <c r="L20" s="715"/>
      <c r="M20" s="715"/>
    </row>
    <row r="21" spans="2:13" ht="20.100000000000001" customHeight="1">
      <c r="B21" s="715"/>
      <c r="C21" s="715"/>
      <c r="D21" s="715"/>
      <c r="E21" s="715"/>
      <c r="F21" s="715"/>
      <c r="G21" s="715"/>
      <c r="H21" s="715"/>
      <c r="I21" s="715"/>
      <c r="J21" s="715"/>
      <c r="K21" s="715"/>
      <c r="L21" s="715"/>
      <c r="M21" s="715"/>
    </row>
    <row r="22" spans="2:13" ht="20.100000000000001" customHeight="1">
      <c r="B22" s="696"/>
    </row>
    <row r="23" spans="2:13" ht="20.100000000000001" customHeight="1">
      <c r="B23" s="714" t="s">
        <v>509</v>
      </c>
      <c r="C23" s="1192" t="s">
        <v>470</v>
      </c>
      <c r="D23" s="1192"/>
      <c r="E23" s="1192"/>
      <c r="F23" s="1192"/>
      <c r="G23" s="1192"/>
      <c r="H23" s="1192"/>
      <c r="I23" s="1192"/>
    </row>
    <row r="24" spans="2:13" ht="54" customHeight="1">
      <c r="B24" s="695" t="s">
        <v>473</v>
      </c>
      <c r="C24" s="694" t="s">
        <v>482</v>
      </c>
      <c r="D24" s="693" t="s">
        <v>421</v>
      </c>
      <c r="E24" s="694" t="s">
        <v>481</v>
      </c>
      <c r="F24" s="694" t="s">
        <v>480</v>
      </c>
      <c r="G24" s="694" t="s">
        <v>443</v>
      </c>
      <c r="H24" s="693" t="s">
        <v>434</v>
      </c>
      <c r="I24" s="693" t="s">
        <v>36</v>
      </c>
    </row>
    <row r="25" spans="2:13" ht="20.100000000000001" customHeight="1">
      <c r="B25" s="433" t="s">
        <v>508</v>
      </c>
      <c r="C25" s="432">
        <v>2283</v>
      </c>
      <c r="D25" s="344">
        <v>24</v>
      </c>
      <c r="E25" s="344">
        <v>2787</v>
      </c>
      <c r="F25" s="344">
        <v>676</v>
      </c>
      <c r="G25" s="344">
        <v>1738</v>
      </c>
      <c r="H25" s="344">
        <v>1008</v>
      </c>
      <c r="I25" s="434">
        <v>8516</v>
      </c>
    </row>
    <row r="26" spans="2:13" ht="20.100000000000001" customHeight="1">
      <c r="B26" s="706" t="s">
        <v>490</v>
      </c>
      <c r="C26" s="661">
        <v>74</v>
      </c>
      <c r="D26" s="366">
        <v>6</v>
      </c>
      <c r="E26" s="366">
        <v>53</v>
      </c>
      <c r="F26" s="366">
        <v>-10</v>
      </c>
      <c r="G26" s="366">
        <v>7</v>
      </c>
      <c r="H26" s="366">
        <v>-2</v>
      </c>
      <c r="I26" s="699">
        <v>128</v>
      </c>
    </row>
    <row r="27" spans="2:13" ht="20.100000000000001" customHeight="1">
      <c r="B27" s="706" t="s">
        <v>489</v>
      </c>
      <c r="C27" s="661">
        <v>67</v>
      </c>
      <c r="D27" s="366">
        <v>3</v>
      </c>
      <c r="E27" s="366">
        <v>172</v>
      </c>
      <c r="F27" s="366">
        <v>30</v>
      </c>
      <c r="G27" s="366">
        <v>110</v>
      </c>
      <c r="H27" s="366">
        <v>40</v>
      </c>
      <c r="I27" s="699">
        <v>422</v>
      </c>
    </row>
    <row r="28" spans="2:13" ht="20.100000000000001" customHeight="1">
      <c r="B28" s="706" t="s">
        <v>488</v>
      </c>
      <c r="C28" s="661">
        <v>32</v>
      </c>
      <c r="D28" s="366" t="s">
        <v>14</v>
      </c>
      <c r="E28" s="366" t="s">
        <v>14</v>
      </c>
      <c r="F28" s="366" t="s">
        <v>14</v>
      </c>
      <c r="G28" s="366" t="s">
        <v>14</v>
      </c>
      <c r="H28" s="366" t="s">
        <v>14</v>
      </c>
      <c r="I28" s="699">
        <v>32</v>
      </c>
    </row>
    <row r="29" spans="2:13" ht="20.100000000000001" customHeight="1">
      <c r="B29" s="706" t="s">
        <v>487</v>
      </c>
      <c r="C29" s="661">
        <v>-38</v>
      </c>
      <c r="D29" s="366" t="s">
        <v>14</v>
      </c>
      <c r="E29" s="366">
        <v>-71</v>
      </c>
      <c r="F29" s="366" t="s">
        <v>14</v>
      </c>
      <c r="G29" s="366">
        <v>-8</v>
      </c>
      <c r="H29" s="366" t="s">
        <v>14</v>
      </c>
      <c r="I29" s="699">
        <v>-117</v>
      </c>
    </row>
    <row r="30" spans="2:13" ht="20.100000000000001" customHeight="1">
      <c r="B30" s="713" t="s">
        <v>486</v>
      </c>
      <c r="C30" s="712">
        <v>-162</v>
      </c>
      <c r="D30" s="329">
        <v>-3</v>
      </c>
      <c r="E30" s="329">
        <v>-230</v>
      </c>
      <c r="F30" s="329">
        <v>-65</v>
      </c>
      <c r="G30" s="329">
        <v>-77</v>
      </c>
      <c r="H30" s="329">
        <v>-81</v>
      </c>
      <c r="I30" s="705">
        <v>-618</v>
      </c>
    </row>
    <row r="31" spans="2:13" ht="20.100000000000001" customHeight="1">
      <c r="B31" s="433" t="s">
        <v>496</v>
      </c>
      <c r="C31" s="432">
        <v>2256</v>
      </c>
      <c r="D31" s="344">
        <v>30</v>
      </c>
      <c r="E31" s="344">
        <v>2711</v>
      </c>
      <c r="F31" s="344">
        <v>631</v>
      </c>
      <c r="G31" s="344">
        <v>1770</v>
      </c>
      <c r="H31" s="344">
        <v>965</v>
      </c>
      <c r="I31" s="434">
        <v>8363</v>
      </c>
    </row>
    <row r="32" spans="2:13" ht="20.100000000000001" customHeight="1">
      <c r="B32" s="706" t="s">
        <v>490</v>
      </c>
      <c r="C32" s="661">
        <v>22</v>
      </c>
      <c r="D32" s="366" t="s">
        <v>468</v>
      </c>
      <c r="E32" s="366">
        <v>-100</v>
      </c>
      <c r="F32" s="366">
        <v>15</v>
      </c>
      <c r="G32" s="366">
        <v>44</v>
      </c>
      <c r="H32" s="366">
        <v>43</v>
      </c>
      <c r="I32" s="699">
        <v>24</v>
      </c>
    </row>
    <row r="33" spans="2:9" ht="20.100000000000001" customHeight="1">
      <c r="B33" s="706" t="s">
        <v>489</v>
      </c>
      <c r="C33" s="661">
        <v>209</v>
      </c>
      <c r="D33" s="366">
        <v>1</v>
      </c>
      <c r="E33" s="366">
        <v>20</v>
      </c>
      <c r="F33" s="366">
        <v>2</v>
      </c>
      <c r="G33" s="366">
        <v>135</v>
      </c>
      <c r="H33" s="366">
        <v>29</v>
      </c>
      <c r="I33" s="699">
        <v>396</v>
      </c>
    </row>
    <row r="34" spans="2:9" ht="20.100000000000001" customHeight="1">
      <c r="B34" s="706" t="s">
        <v>488</v>
      </c>
      <c r="C34" s="661" t="s">
        <v>468</v>
      </c>
      <c r="D34" s="366" t="s">
        <v>468</v>
      </c>
      <c r="E34" s="366" t="s">
        <v>468</v>
      </c>
      <c r="F34" s="366" t="s">
        <v>468</v>
      </c>
      <c r="G34" s="366" t="s">
        <v>468</v>
      </c>
      <c r="H34" s="366">
        <v>132</v>
      </c>
      <c r="I34" s="699">
        <v>132</v>
      </c>
    </row>
    <row r="35" spans="2:9" ht="20.100000000000001" customHeight="1">
      <c r="B35" s="706" t="s">
        <v>487</v>
      </c>
      <c r="C35" s="661">
        <v>-51</v>
      </c>
      <c r="D35" s="366" t="s">
        <v>468</v>
      </c>
      <c r="E35" s="366" t="s">
        <v>468</v>
      </c>
      <c r="F35" s="366" t="s">
        <v>468</v>
      </c>
      <c r="G35" s="366">
        <v>-51</v>
      </c>
      <c r="H35" s="366" t="s">
        <v>468</v>
      </c>
      <c r="I35" s="699">
        <v>-102</v>
      </c>
    </row>
    <row r="36" spans="2:9" ht="20.100000000000001" customHeight="1">
      <c r="B36" s="713" t="s">
        <v>486</v>
      </c>
      <c r="C36" s="712">
        <v>-149</v>
      </c>
      <c r="D36" s="329">
        <v>-3</v>
      </c>
      <c r="E36" s="329">
        <v>-217</v>
      </c>
      <c r="F36" s="329">
        <v>-58</v>
      </c>
      <c r="G36" s="329">
        <v>-74</v>
      </c>
      <c r="H36" s="329">
        <v>-87</v>
      </c>
      <c r="I36" s="705">
        <v>-588</v>
      </c>
    </row>
    <row r="37" spans="2:9" ht="20.100000000000001" customHeight="1">
      <c r="B37" s="433" t="s">
        <v>507</v>
      </c>
      <c r="C37" s="432">
        <v>2287</v>
      </c>
      <c r="D37" s="344">
        <v>28</v>
      </c>
      <c r="E37" s="344">
        <v>2414</v>
      </c>
      <c r="F37" s="344">
        <v>590</v>
      </c>
      <c r="G37" s="344">
        <v>1824</v>
      </c>
      <c r="H37" s="344">
        <v>1082</v>
      </c>
      <c r="I37" s="434">
        <v>8225</v>
      </c>
    </row>
    <row r="38" spans="2:9" ht="20.100000000000001" customHeight="1">
      <c r="B38" s="706" t="s">
        <v>490</v>
      </c>
      <c r="C38" s="661">
        <v>26</v>
      </c>
      <c r="D38" s="366">
        <v>4</v>
      </c>
      <c r="E38" s="366">
        <v>42</v>
      </c>
      <c r="F38" s="366">
        <v>13</v>
      </c>
      <c r="G38" s="366">
        <v>-11</v>
      </c>
      <c r="H38" s="366">
        <v>26</v>
      </c>
      <c r="I38" s="699">
        <v>100</v>
      </c>
    </row>
    <row r="39" spans="2:9" ht="20.100000000000001" customHeight="1">
      <c r="B39" s="706" t="s">
        <v>489</v>
      </c>
      <c r="C39" s="661">
        <v>21</v>
      </c>
      <c r="D39" s="366" t="s">
        <v>14</v>
      </c>
      <c r="E39" s="366">
        <v>111</v>
      </c>
      <c r="F39" s="366">
        <v>3</v>
      </c>
      <c r="G39" s="366">
        <v>151</v>
      </c>
      <c r="H39" s="366">
        <v>29</v>
      </c>
      <c r="I39" s="699">
        <v>315</v>
      </c>
    </row>
    <row r="40" spans="2:9" ht="20.100000000000001" customHeight="1">
      <c r="B40" s="706" t="s">
        <v>488</v>
      </c>
      <c r="C40" s="661">
        <v>1</v>
      </c>
      <c r="D40" s="366" t="s">
        <v>14</v>
      </c>
      <c r="E40" s="366" t="s">
        <v>14</v>
      </c>
      <c r="F40" s="366" t="s">
        <v>14</v>
      </c>
      <c r="G40" s="366" t="s">
        <v>14</v>
      </c>
      <c r="H40" s="366" t="s">
        <v>14</v>
      </c>
      <c r="I40" s="699">
        <v>1</v>
      </c>
    </row>
    <row r="41" spans="2:9" ht="20.100000000000001" customHeight="1">
      <c r="B41" s="706" t="s">
        <v>487</v>
      </c>
      <c r="C41" s="661">
        <v>-232</v>
      </c>
      <c r="D41" s="366" t="s">
        <v>14</v>
      </c>
      <c r="E41" s="366">
        <v>-21</v>
      </c>
      <c r="F41" s="366" t="s">
        <v>14</v>
      </c>
      <c r="G41" s="366" t="s">
        <v>14</v>
      </c>
      <c r="H41" s="366" t="s">
        <v>14</v>
      </c>
      <c r="I41" s="699">
        <v>-253</v>
      </c>
    </row>
    <row r="42" spans="2:9" ht="20.100000000000001" customHeight="1">
      <c r="B42" s="713" t="s">
        <v>486</v>
      </c>
      <c r="C42" s="712">
        <v>-138</v>
      </c>
      <c r="D42" s="329">
        <v>-3</v>
      </c>
      <c r="E42" s="329">
        <v>-222</v>
      </c>
      <c r="F42" s="329">
        <v>-49</v>
      </c>
      <c r="G42" s="329">
        <v>-76</v>
      </c>
      <c r="H42" s="329">
        <v>-87</v>
      </c>
      <c r="I42" s="705">
        <v>-575</v>
      </c>
    </row>
    <row r="43" spans="2:9" ht="20.100000000000001" customHeight="1">
      <c r="B43" s="433" t="s">
        <v>506</v>
      </c>
      <c r="C43" s="432">
        <v>1965</v>
      </c>
      <c r="D43" s="344">
        <v>29</v>
      </c>
      <c r="E43" s="344">
        <v>2324</v>
      </c>
      <c r="F43" s="344">
        <v>557</v>
      </c>
      <c r="G43" s="344">
        <v>1888</v>
      </c>
      <c r="H43" s="344">
        <v>1050</v>
      </c>
      <c r="I43" s="434">
        <v>7813</v>
      </c>
    </row>
    <row r="44" spans="2:9" ht="30.75" customHeight="1">
      <c r="B44" s="706" t="s">
        <v>490</v>
      </c>
      <c r="C44" s="661">
        <v>1</v>
      </c>
      <c r="D44" s="366" t="s">
        <v>505</v>
      </c>
      <c r="E44" s="366">
        <v>-4</v>
      </c>
      <c r="F44" s="366">
        <v>-7</v>
      </c>
      <c r="G44" s="366">
        <v>144</v>
      </c>
      <c r="H44" s="366">
        <v>62</v>
      </c>
      <c r="I44" s="699">
        <v>196</v>
      </c>
    </row>
    <row r="45" spans="2:9" ht="18" customHeight="1">
      <c r="B45" s="706" t="s">
        <v>489</v>
      </c>
      <c r="C45" s="661">
        <v>11</v>
      </c>
      <c r="D45" s="366" t="s">
        <v>14</v>
      </c>
      <c r="E45" s="366">
        <v>9</v>
      </c>
      <c r="F45" s="366">
        <v>864</v>
      </c>
      <c r="G45" s="366">
        <v>6</v>
      </c>
      <c r="H45" s="366">
        <v>7</v>
      </c>
      <c r="I45" s="699">
        <v>897</v>
      </c>
    </row>
    <row r="46" spans="2:9" ht="18" customHeight="1">
      <c r="B46" s="706" t="s">
        <v>488</v>
      </c>
      <c r="C46" s="661" t="s">
        <v>14</v>
      </c>
      <c r="D46" s="366" t="s">
        <v>14</v>
      </c>
      <c r="E46" s="366" t="s">
        <v>14</v>
      </c>
      <c r="F46" s="366" t="s">
        <v>14</v>
      </c>
      <c r="G46" s="366" t="s">
        <v>14</v>
      </c>
      <c r="H46" s="366" t="s">
        <v>14</v>
      </c>
      <c r="I46" s="699" t="s">
        <v>14</v>
      </c>
    </row>
    <row r="47" spans="2:9" ht="18" customHeight="1">
      <c r="B47" s="706" t="s">
        <v>487</v>
      </c>
      <c r="C47" s="661">
        <v>-28</v>
      </c>
      <c r="D47" s="366" t="s">
        <v>14</v>
      </c>
      <c r="E47" s="366">
        <v>-76</v>
      </c>
      <c r="F47" s="366" t="s">
        <v>14</v>
      </c>
      <c r="G47" s="366">
        <v>-160</v>
      </c>
      <c r="H47" s="366" t="s">
        <v>14</v>
      </c>
      <c r="I47" s="699">
        <v>-264</v>
      </c>
    </row>
    <row r="48" spans="2:9" ht="20.100000000000001" customHeight="1">
      <c r="B48" s="713" t="s">
        <v>486</v>
      </c>
      <c r="C48" s="712">
        <v>-137</v>
      </c>
      <c r="D48" s="329">
        <v>-4</v>
      </c>
      <c r="E48" s="329">
        <v>-233</v>
      </c>
      <c r="F48" s="329">
        <v>-105</v>
      </c>
      <c r="G48" s="329">
        <v>-79</v>
      </c>
      <c r="H48" s="329">
        <v>-94</v>
      </c>
      <c r="I48" s="705">
        <v>-652</v>
      </c>
    </row>
    <row r="49" spans="2:9" ht="20.100000000000001" customHeight="1">
      <c r="B49" s="433" t="s">
        <v>492</v>
      </c>
      <c r="C49" s="432">
        <v>1812</v>
      </c>
      <c r="D49" s="344">
        <v>25</v>
      </c>
      <c r="E49" s="344">
        <v>2020</v>
      </c>
      <c r="F49" s="344">
        <v>1309</v>
      </c>
      <c r="G49" s="344">
        <v>1799</v>
      </c>
      <c r="H49" s="344">
        <v>1025</v>
      </c>
      <c r="I49" s="434">
        <v>7990</v>
      </c>
    </row>
    <row r="50" spans="2:9" ht="18.75" customHeight="1">
      <c r="B50" s="706" t="s">
        <v>490</v>
      </c>
      <c r="C50" s="661">
        <v>49</v>
      </c>
      <c r="D50" s="366">
        <v>1</v>
      </c>
      <c r="E50" s="366">
        <v>1</v>
      </c>
      <c r="F50" s="366">
        <v>232</v>
      </c>
      <c r="G50" s="366">
        <v>-234</v>
      </c>
      <c r="H50" s="366">
        <v>39</v>
      </c>
      <c r="I50" s="699">
        <v>88</v>
      </c>
    </row>
    <row r="51" spans="2:9" ht="17.100000000000001" customHeight="1">
      <c r="B51" s="706" t="s">
        <v>489</v>
      </c>
      <c r="C51" s="661">
        <v>47</v>
      </c>
      <c r="D51" s="366" t="s">
        <v>14</v>
      </c>
      <c r="E51" s="366">
        <v>11</v>
      </c>
      <c r="F51" s="366">
        <v>5</v>
      </c>
      <c r="G51" s="366">
        <v>33</v>
      </c>
      <c r="H51" s="366">
        <v>15</v>
      </c>
      <c r="I51" s="699">
        <v>111</v>
      </c>
    </row>
    <row r="52" spans="2:9" ht="20.100000000000001" customHeight="1">
      <c r="B52" s="706" t="s">
        <v>488</v>
      </c>
      <c r="C52" s="661" t="s">
        <v>14</v>
      </c>
      <c r="D52" s="366" t="s">
        <v>14</v>
      </c>
      <c r="E52" s="366" t="s">
        <v>14</v>
      </c>
      <c r="F52" s="366" t="s">
        <v>14</v>
      </c>
      <c r="G52" s="366">
        <v>152</v>
      </c>
      <c r="H52" s="366" t="s">
        <v>14</v>
      </c>
      <c r="I52" s="699">
        <v>152</v>
      </c>
    </row>
    <row r="53" spans="2:9" ht="20.100000000000001" customHeight="1">
      <c r="B53" s="706" t="s">
        <v>487</v>
      </c>
      <c r="C53" s="661">
        <v>-27</v>
      </c>
      <c r="D53" s="366">
        <v>-13</v>
      </c>
      <c r="E53" s="366" t="s">
        <v>14</v>
      </c>
      <c r="F53" s="366" t="s">
        <v>14</v>
      </c>
      <c r="G53" s="366">
        <v>-21</v>
      </c>
      <c r="H53" s="366" t="s">
        <v>14</v>
      </c>
      <c r="I53" s="699">
        <v>-61</v>
      </c>
    </row>
    <row r="54" spans="2:9" ht="20.100000000000001" customHeight="1">
      <c r="B54" s="713" t="s">
        <v>486</v>
      </c>
      <c r="C54" s="712">
        <v>-155</v>
      </c>
      <c r="D54" s="329">
        <v>-2</v>
      </c>
      <c r="E54" s="329">
        <v>-230</v>
      </c>
      <c r="F54" s="329">
        <v>-104</v>
      </c>
      <c r="G54" s="329">
        <v>-90</v>
      </c>
      <c r="H54" s="329">
        <v>-97</v>
      </c>
      <c r="I54" s="705">
        <v>-678</v>
      </c>
    </row>
    <row r="55" spans="2:9" ht="20.100000000000001" customHeight="1">
      <c r="B55" s="433" t="s">
        <v>491</v>
      </c>
      <c r="C55" s="432">
        <v>1726</v>
      </c>
      <c r="D55" s="344">
        <v>11</v>
      </c>
      <c r="E55" s="344">
        <v>1802</v>
      </c>
      <c r="F55" s="344">
        <v>1442</v>
      </c>
      <c r="G55" s="344">
        <v>1639</v>
      </c>
      <c r="H55" s="344">
        <v>982</v>
      </c>
      <c r="I55" s="434">
        <v>7602</v>
      </c>
    </row>
    <row r="56" spans="2:9" ht="18.75" customHeight="1">
      <c r="B56" s="706" t="s">
        <v>490</v>
      </c>
      <c r="C56" s="661">
        <v>122</v>
      </c>
      <c r="D56" s="366">
        <v>2</v>
      </c>
      <c r="E56" s="366">
        <v>106</v>
      </c>
      <c r="F56" s="366">
        <v>50</v>
      </c>
      <c r="G56" s="366">
        <v>195</v>
      </c>
      <c r="H56" s="366">
        <v>44</v>
      </c>
      <c r="I56" s="699">
        <v>519</v>
      </c>
    </row>
    <row r="57" spans="2:9" ht="17.100000000000001" customHeight="1">
      <c r="B57" s="706" t="s">
        <v>489</v>
      </c>
      <c r="C57" s="661" t="s">
        <v>468</v>
      </c>
      <c r="D57" s="366" t="s">
        <v>468</v>
      </c>
      <c r="E57" s="366">
        <v>29</v>
      </c>
      <c r="F57" s="366">
        <v>62</v>
      </c>
      <c r="G57" s="366">
        <v>149</v>
      </c>
      <c r="H57" s="366">
        <v>6</v>
      </c>
      <c r="I57" s="699">
        <v>246</v>
      </c>
    </row>
    <row r="58" spans="2:9" ht="20.100000000000001" customHeight="1">
      <c r="B58" s="706" t="s">
        <v>488</v>
      </c>
      <c r="C58" s="661">
        <v>9</v>
      </c>
      <c r="D58" s="366" t="s">
        <v>468</v>
      </c>
      <c r="E58" s="366">
        <v>2</v>
      </c>
      <c r="F58" s="366" t="s">
        <v>468</v>
      </c>
      <c r="G58" s="366" t="s">
        <v>468</v>
      </c>
      <c r="H58" s="366" t="s">
        <v>468</v>
      </c>
      <c r="I58" s="699">
        <v>11</v>
      </c>
    </row>
    <row r="59" spans="2:9" ht="20.100000000000001" customHeight="1">
      <c r="B59" s="706" t="s">
        <v>487</v>
      </c>
      <c r="C59" s="661">
        <v>-17</v>
      </c>
      <c r="D59" s="366" t="s">
        <v>468</v>
      </c>
      <c r="E59" s="366">
        <v>-28</v>
      </c>
      <c r="F59" s="366" t="s">
        <v>468</v>
      </c>
      <c r="G59" s="366">
        <v>-52</v>
      </c>
      <c r="H59" s="366" t="s">
        <v>468</v>
      </c>
      <c r="I59" s="699">
        <v>-97</v>
      </c>
    </row>
    <row r="60" spans="2:9" ht="20.100000000000001" customHeight="1">
      <c r="B60" s="713" t="s">
        <v>486</v>
      </c>
      <c r="C60" s="712">
        <v>-162</v>
      </c>
      <c r="D60" s="329">
        <v>-2</v>
      </c>
      <c r="E60" s="329">
        <v>-232</v>
      </c>
      <c r="F60" s="329">
        <v>-104</v>
      </c>
      <c r="G60" s="329">
        <v>-115</v>
      </c>
      <c r="H60" s="329">
        <v>-89</v>
      </c>
      <c r="I60" s="705">
        <v>-704</v>
      </c>
    </row>
    <row r="61" spans="2:9" ht="20.100000000000001" customHeight="1">
      <c r="B61" s="711" t="s">
        <v>485</v>
      </c>
      <c r="C61" s="710">
        <v>1678</v>
      </c>
      <c r="D61" s="709">
        <v>11</v>
      </c>
      <c r="E61" s="709">
        <v>1679</v>
      </c>
      <c r="F61" s="709">
        <v>1450</v>
      </c>
      <c r="G61" s="709">
        <v>1816</v>
      </c>
      <c r="H61" s="709">
        <v>943</v>
      </c>
      <c r="I61" s="708">
        <v>7577</v>
      </c>
    </row>
    <row r="62" spans="2:9" ht="33" customHeight="1">
      <c r="B62" s="1193" t="s">
        <v>504</v>
      </c>
      <c r="C62" s="1193"/>
      <c r="D62" s="461"/>
      <c r="E62" s="707"/>
      <c r="F62" s="707"/>
      <c r="G62" s="707"/>
      <c r="H62" s="707"/>
      <c r="I62" s="707"/>
    </row>
    <row r="63" spans="2:9" ht="20.100000000000001" customHeight="1">
      <c r="B63" s="706" t="s">
        <v>503</v>
      </c>
      <c r="C63" s="342" t="s">
        <v>14</v>
      </c>
      <c r="D63" s="342" t="s">
        <v>14</v>
      </c>
      <c r="E63" s="342">
        <v>99</v>
      </c>
      <c r="F63" s="342" t="s">
        <v>14</v>
      </c>
      <c r="G63" s="342" t="s">
        <v>14</v>
      </c>
      <c r="H63" s="661" t="s">
        <v>14</v>
      </c>
      <c r="I63" s="699">
        <v>99</v>
      </c>
    </row>
    <row r="64" spans="2:9" ht="20.100000000000001" customHeight="1">
      <c r="B64" s="706" t="s">
        <v>502</v>
      </c>
      <c r="C64" s="342" t="s">
        <v>14</v>
      </c>
      <c r="D64" s="342" t="s">
        <v>14</v>
      </c>
      <c r="E64" s="342">
        <v>159</v>
      </c>
      <c r="F64" s="342" t="s">
        <v>14</v>
      </c>
      <c r="G64" s="342" t="s">
        <v>14</v>
      </c>
      <c r="H64" s="661" t="s">
        <v>14</v>
      </c>
      <c r="I64" s="699">
        <v>159</v>
      </c>
    </row>
    <row r="65" spans="2:9" ht="20.100000000000001" customHeight="1">
      <c r="B65" s="706" t="s">
        <v>501</v>
      </c>
      <c r="C65" s="342" t="s">
        <v>14</v>
      </c>
      <c r="D65" s="342" t="s">
        <v>14</v>
      </c>
      <c r="E65" s="342">
        <v>146</v>
      </c>
      <c r="F65" s="342" t="s">
        <v>14</v>
      </c>
      <c r="G65" s="342" t="s">
        <v>14</v>
      </c>
      <c r="H65" s="342" t="s">
        <v>14</v>
      </c>
      <c r="I65" s="699">
        <v>146</v>
      </c>
    </row>
    <row r="66" spans="2:9" ht="20.100000000000001" customHeight="1">
      <c r="B66" s="706" t="s">
        <v>500</v>
      </c>
      <c r="C66" s="342" t="s">
        <v>14</v>
      </c>
      <c r="D66" s="342" t="s">
        <v>14</v>
      </c>
      <c r="E66" s="342">
        <v>128</v>
      </c>
      <c r="F66" s="342" t="s">
        <v>14</v>
      </c>
      <c r="G66" s="342" t="s">
        <v>14</v>
      </c>
      <c r="H66" s="342" t="s">
        <v>14</v>
      </c>
      <c r="I66" s="699">
        <v>128</v>
      </c>
    </row>
    <row r="67" spans="2:9" ht="20.100000000000001" customHeight="1">
      <c r="B67" s="706" t="s">
        <v>499</v>
      </c>
      <c r="C67" s="342" t="s">
        <v>14</v>
      </c>
      <c r="D67" s="342" t="s">
        <v>14</v>
      </c>
      <c r="E67" s="342">
        <v>105</v>
      </c>
      <c r="F67" s="342" t="s">
        <v>14</v>
      </c>
      <c r="G67" s="342" t="s">
        <v>14</v>
      </c>
      <c r="H67" s="342" t="s">
        <v>14</v>
      </c>
      <c r="I67" s="705">
        <v>105</v>
      </c>
    </row>
    <row r="68" spans="2:9" ht="20.100000000000001" customHeight="1">
      <c r="B68" s="704" t="s">
        <v>498</v>
      </c>
      <c r="C68" s="703" t="s">
        <v>14</v>
      </c>
      <c r="D68" s="702" t="s">
        <v>14</v>
      </c>
      <c r="E68" s="702">
        <v>102</v>
      </c>
      <c r="F68" s="702" t="s">
        <v>14</v>
      </c>
      <c r="G68" s="702" t="s">
        <v>14</v>
      </c>
      <c r="H68" s="702" t="s">
        <v>14</v>
      </c>
      <c r="I68" s="701">
        <v>102</v>
      </c>
    </row>
    <row r="69" spans="2:9" ht="20.100000000000001" customHeight="1">
      <c r="B69" s="435"/>
      <c r="C69" s="435"/>
      <c r="D69" s="435"/>
      <c r="E69" s="435"/>
      <c r="F69" s="435"/>
      <c r="G69" s="435"/>
      <c r="H69" s="435"/>
    </row>
    <row r="70" spans="2:9" ht="20.100000000000001" customHeight="1">
      <c r="B70" s="700" t="s">
        <v>484</v>
      </c>
      <c r="C70" s="1194" t="s">
        <v>469</v>
      </c>
      <c r="D70" s="1194"/>
      <c r="E70" s="1194"/>
      <c r="F70" s="1194"/>
      <c r="G70" s="1194"/>
      <c r="H70" s="1194"/>
      <c r="I70" s="1194"/>
    </row>
    <row r="71" spans="2:9" ht="54" customHeight="1">
      <c r="B71" s="695" t="s">
        <v>473</v>
      </c>
      <c r="C71" s="694" t="s">
        <v>482</v>
      </c>
      <c r="D71" s="693" t="s">
        <v>421</v>
      </c>
      <c r="E71" s="694" t="s">
        <v>481</v>
      </c>
      <c r="F71" s="694" t="s">
        <v>480</v>
      </c>
      <c r="G71" s="694" t="s">
        <v>443</v>
      </c>
      <c r="H71" s="693" t="s">
        <v>434</v>
      </c>
      <c r="I71" s="693" t="s">
        <v>36</v>
      </c>
    </row>
    <row r="72" spans="2:9" ht="20.100000000000001" customHeight="1">
      <c r="B72" s="679" t="s">
        <v>497</v>
      </c>
      <c r="C72" s="432" t="s">
        <v>14</v>
      </c>
      <c r="D72" s="344">
        <v>744</v>
      </c>
      <c r="E72" s="344">
        <v>78</v>
      </c>
      <c r="F72" s="344">
        <v>1629</v>
      </c>
      <c r="G72" s="344">
        <v>456</v>
      </c>
      <c r="H72" s="344" t="s">
        <v>14</v>
      </c>
      <c r="I72" s="434">
        <v>2907</v>
      </c>
    </row>
    <row r="73" spans="2:9" ht="21.95" customHeight="1">
      <c r="B73" s="363" t="s">
        <v>490</v>
      </c>
      <c r="C73" s="661" t="s">
        <v>14</v>
      </c>
      <c r="D73" s="366">
        <v>78</v>
      </c>
      <c r="E73" s="366">
        <v>1</v>
      </c>
      <c r="F73" s="366">
        <v>6</v>
      </c>
      <c r="G73" s="366">
        <v>-39</v>
      </c>
      <c r="H73" s="366" t="s">
        <v>14</v>
      </c>
      <c r="I73" s="699">
        <v>46</v>
      </c>
    </row>
    <row r="74" spans="2:9" ht="20.100000000000001" customHeight="1">
      <c r="B74" s="363" t="s">
        <v>489</v>
      </c>
      <c r="C74" s="661" t="s">
        <v>14</v>
      </c>
      <c r="D74" s="366">
        <v>158</v>
      </c>
      <c r="E74" s="366" t="s">
        <v>14</v>
      </c>
      <c r="F74" s="366" t="s">
        <v>14</v>
      </c>
      <c r="G74" s="366" t="s">
        <v>14</v>
      </c>
      <c r="H74" s="366" t="s">
        <v>14</v>
      </c>
      <c r="I74" s="699">
        <v>158</v>
      </c>
    </row>
    <row r="75" spans="2:9" ht="20.100000000000001" customHeight="1">
      <c r="B75" s="363" t="s">
        <v>488</v>
      </c>
      <c r="C75" s="661" t="s">
        <v>14</v>
      </c>
      <c r="D75" s="366">
        <v>118</v>
      </c>
      <c r="E75" s="366" t="s">
        <v>14</v>
      </c>
      <c r="F75" s="366" t="s">
        <v>14</v>
      </c>
      <c r="G75" s="366" t="s">
        <v>14</v>
      </c>
      <c r="H75" s="366" t="s">
        <v>14</v>
      </c>
      <c r="I75" s="699">
        <v>118</v>
      </c>
    </row>
    <row r="76" spans="2:9" ht="20.100000000000001" customHeight="1">
      <c r="B76" s="363" t="s">
        <v>487</v>
      </c>
      <c r="C76" s="661" t="s">
        <v>14</v>
      </c>
      <c r="D76" s="366" t="s">
        <v>14</v>
      </c>
      <c r="E76" s="366" t="s">
        <v>14</v>
      </c>
      <c r="F76" s="366" t="s">
        <v>14</v>
      </c>
      <c r="G76" s="366" t="s">
        <v>14</v>
      </c>
      <c r="H76" s="366" t="s">
        <v>14</v>
      </c>
      <c r="I76" s="699" t="s">
        <v>14</v>
      </c>
    </row>
    <row r="77" spans="2:9" ht="20.100000000000001" customHeight="1">
      <c r="B77" s="365" t="s">
        <v>486</v>
      </c>
      <c r="C77" s="664" t="s">
        <v>14</v>
      </c>
      <c r="D77" s="367">
        <v>-63</v>
      </c>
      <c r="E77" s="367" t="s">
        <v>14</v>
      </c>
      <c r="F77" s="367">
        <v>-146</v>
      </c>
      <c r="G77" s="367">
        <v>-15</v>
      </c>
      <c r="H77" s="367" t="s">
        <v>14</v>
      </c>
      <c r="I77" s="698">
        <v>-224</v>
      </c>
    </row>
    <row r="78" spans="2:9" ht="20.100000000000001" customHeight="1">
      <c r="B78" s="679" t="s">
        <v>496</v>
      </c>
      <c r="C78" s="432" t="s">
        <v>14</v>
      </c>
      <c r="D78" s="344">
        <v>1035</v>
      </c>
      <c r="E78" s="344">
        <v>79</v>
      </c>
      <c r="F78" s="344">
        <v>1489</v>
      </c>
      <c r="G78" s="344">
        <v>402</v>
      </c>
      <c r="H78" s="344" t="s">
        <v>14</v>
      </c>
      <c r="I78" s="434">
        <v>3005</v>
      </c>
    </row>
    <row r="79" spans="2:9" ht="20.100000000000001" customHeight="1">
      <c r="B79" s="363" t="s">
        <v>490</v>
      </c>
      <c r="C79" s="661" t="s">
        <v>14</v>
      </c>
      <c r="D79" s="366">
        <v>33</v>
      </c>
      <c r="E79" s="366">
        <v>-2</v>
      </c>
      <c r="F79" s="366">
        <v>-4</v>
      </c>
      <c r="G79" s="366">
        <v>-141</v>
      </c>
      <c r="H79" s="366" t="s">
        <v>14</v>
      </c>
      <c r="I79" s="699">
        <v>-114</v>
      </c>
    </row>
    <row r="80" spans="2:9" ht="20.100000000000001" customHeight="1">
      <c r="B80" s="363" t="s">
        <v>489</v>
      </c>
      <c r="C80" s="661" t="s">
        <v>14</v>
      </c>
      <c r="D80" s="366">
        <v>622</v>
      </c>
      <c r="E80" s="366" t="s">
        <v>14</v>
      </c>
      <c r="F80" s="366">
        <v>14</v>
      </c>
      <c r="G80" s="366" t="s">
        <v>14</v>
      </c>
      <c r="H80" s="366" t="s">
        <v>14</v>
      </c>
      <c r="I80" s="699">
        <v>636</v>
      </c>
    </row>
    <row r="81" spans="2:9" ht="20.100000000000001" customHeight="1">
      <c r="B81" s="363" t="s">
        <v>488</v>
      </c>
      <c r="C81" s="661" t="s">
        <v>14</v>
      </c>
      <c r="D81" s="366">
        <v>117</v>
      </c>
      <c r="E81" s="366" t="s">
        <v>14</v>
      </c>
      <c r="F81" s="366" t="s">
        <v>14</v>
      </c>
      <c r="G81" s="366" t="s">
        <v>14</v>
      </c>
      <c r="H81" s="366" t="s">
        <v>14</v>
      </c>
      <c r="I81" s="699">
        <v>117</v>
      </c>
    </row>
    <row r="82" spans="2:9" ht="20.100000000000001" customHeight="1">
      <c r="B82" s="363" t="s">
        <v>487</v>
      </c>
      <c r="C82" s="661" t="s">
        <v>14</v>
      </c>
      <c r="D82" s="366">
        <v>-92</v>
      </c>
      <c r="E82" s="366" t="s">
        <v>14</v>
      </c>
      <c r="F82" s="366" t="s">
        <v>14</v>
      </c>
      <c r="G82" s="366" t="s">
        <v>14</v>
      </c>
      <c r="H82" s="366" t="s">
        <v>14</v>
      </c>
      <c r="I82" s="699">
        <v>-92</v>
      </c>
    </row>
    <row r="83" spans="2:9" ht="20.100000000000001" customHeight="1">
      <c r="B83" s="365" t="s">
        <v>486</v>
      </c>
      <c r="C83" s="664" t="s">
        <v>14</v>
      </c>
      <c r="D83" s="367">
        <v>-73</v>
      </c>
      <c r="E83" s="367">
        <v>-1</v>
      </c>
      <c r="F83" s="367">
        <v>-164</v>
      </c>
      <c r="G83" s="367">
        <v>-13</v>
      </c>
      <c r="H83" s="367" t="s">
        <v>14</v>
      </c>
      <c r="I83" s="698">
        <v>-251</v>
      </c>
    </row>
    <row r="84" spans="2:9" ht="20.100000000000001" customHeight="1">
      <c r="B84" s="679" t="s">
        <v>495</v>
      </c>
      <c r="C84" s="432" t="s">
        <v>14</v>
      </c>
      <c r="D84" s="344">
        <v>1642</v>
      </c>
      <c r="E84" s="344">
        <v>76</v>
      </c>
      <c r="F84" s="344">
        <v>1335</v>
      </c>
      <c r="G84" s="344">
        <v>248</v>
      </c>
      <c r="H84" s="344" t="s">
        <v>14</v>
      </c>
      <c r="I84" s="434">
        <v>3301</v>
      </c>
    </row>
    <row r="85" spans="2:9" ht="20.100000000000001" customHeight="1">
      <c r="B85" s="363" t="s">
        <v>490</v>
      </c>
      <c r="C85" s="661" t="s">
        <v>14</v>
      </c>
      <c r="D85" s="366">
        <v>6</v>
      </c>
      <c r="E85" s="366">
        <v>-2</v>
      </c>
      <c r="F85" s="366">
        <v>-8</v>
      </c>
      <c r="G85" s="366">
        <v>2</v>
      </c>
      <c r="H85" s="366" t="s">
        <v>14</v>
      </c>
      <c r="I85" s="699">
        <v>-2</v>
      </c>
    </row>
    <row r="86" spans="2:9" ht="20.100000000000001" customHeight="1">
      <c r="B86" s="363" t="s">
        <v>489</v>
      </c>
      <c r="C86" s="661" t="s">
        <v>14</v>
      </c>
      <c r="D86" s="366">
        <v>516</v>
      </c>
      <c r="E86" s="366" t="s">
        <v>14</v>
      </c>
      <c r="F86" s="366">
        <v>2</v>
      </c>
      <c r="G86" s="366" t="s">
        <v>14</v>
      </c>
      <c r="H86" s="366" t="s">
        <v>14</v>
      </c>
      <c r="I86" s="699">
        <v>518</v>
      </c>
    </row>
    <row r="87" spans="2:9" ht="20.100000000000001" customHeight="1">
      <c r="B87" s="363" t="s">
        <v>488</v>
      </c>
      <c r="C87" s="661" t="s">
        <v>14</v>
      </c>
      <c r="D87" s="366">
        <v>107</v>
      </c>
      <c r="E87" s="366" t="s">
        <v>14</v>
      </c>
      <c r="F87" s="366" t="s">
        <v>14</v>
      </c>
      <c r="G87" s="366" t="s">
        <v>14</v>
      </c>
      <c r="H87" s="366" t="s">
        <v>14</v>
      </c>
      <c r="I87" s="699">
        <v>107</v>
      </c>
    </row>
    <row r="88" spans="2:9" ht="20.100000000000001" customHeight="1">
      <c r="B88" s="363" t="s">
        <v>487</v>
      </c>
      <c r="C88" s="661" t="s">
        <v>14</v>
      </c>
      <c r="D88" s="366">
        <v>-6</v>
      </c>
      <c r="E88" s="366" t="s">
        <v>14</v>
      </c>
      <c r="F88" s="366" t="s">
        <v>14</v>
      </c>
      <c r="G88" s="366" t="s">
        <v>14</v>
      </c>
      <c r="H88" s="366" t="s">
        <v>14</v>
      </c>
      <c r="I88" s="699">
        <v>-6</v>
      </c>
    </row>
    <row r="89" spans="2:9" ht="20.100000000000001" customHeight="1">
      <c r="B89" s="365" t="s">
        <v>486</v>
      </c>
      <c r="C89" s="664" t="s">
        <v>14</v>
      </c>
      <c r="D89" s="367">
        <v>-83</v>
      </c>
      <c r="E89" s="367">
        <v>-1</v>
      </c>
      <c r="F89" s="367">
        <v>-110</v>
      </c>
      <c r="G89" s="367">
        <v>-14</v>
      </c>
      <c r="H89" s="367" t="s">
        <v>14</v>
      </c>
      <c r="I89" s="698">
        <v>-208</v>
      </c>
    </row>
    <row r="90" spans="2:9" ht="20.100000000000001" customHeight="1">
      <c r="B90" s="679" t="s">
        <v>494</v>
      </c>
      <c r="C90" s="432" t="s">
        <v>14</v>
      </c>
      <c r="D90" s="344">
        <v>2182</v>
      </c>
      <c r="E90" s="344">
        <v>73</v>
      </c>
      <c r="F90" s="344">
        <v>1219</v>
      </c>
      <c r="G90" s="344">
        <v>236</v>
      </c>
      <c r="H90" s="344" t="s">
        <v>14</v>
      </c>
      <c r="I90" s="434">
        <v>3710</v>
      </c>
    </row>
    <row r="91" spans="2:9" ht="20.100000000000001" customHeight="1">
      <c r="B91" s="363" t="s">
        <v>490</v>
      </c>
      <c r="C91" s="661" t="s">
        <v>493</v>
      </c>
      <c r="D91" s="366">
        <v>96</v>
      </c>
      <c r="E91" s="366">
        <v>-2</v>
      </c>
      <c r="F91" s="366">
        <v>-10</v>
      </c>
      <c r="G91" s="366">
        <v>-44</v>
      </c>
      <c r="H91" s="366" t="s">
        <v>14</v>
      </c>
      <c r="I91" s="699">
        <v>40</v>
      </c>
    </row>
    <row r="92" spans="2:9" ht="15.75">
      <c r="B92" s="363" t="s">
        <v>489</v>
      </c>
      <c r="C92" s="661" t="s">
        <v>14</v>
      </c>
      <c r="D92" s="366" t="s">
        <v>14</v>
      </c>
      <c r="E92" s="366" t="s">
        <v>14</v>
      </c>
      <c r="F92" s="366" t="s">
        <v>14</v>
      </c>
      <c r="G92" s="366" t="s">
        <v>14</v>
      </c>
      <c r="H92" s="366" t="s">
        <v>14</v>
      </c>
      <c r="I92" s="699" t="s">
        <v>14</v>
      </c>
    </row>
    <row r="93" spans="2:9" ht="20.100000000000001" customHeight="1">
      <c r="B93" s="363" t="s">
        <v>488</v>
      </c>
      <c r="C93" s="661" t="s">
        <v>14</v>
      </c>
      <c r="D93" s="366">
        <v>56</v>
      </c>
      <c r="E93" s="366" t="s">
        <v>14</v>
      </c>
      <c r="F93" s="366" t="s">
        <v>14</v>
      </c>
      <c r="G93" s="366" t="s">
        <v>14</v>
      </c>
      <c r="H93" s="366" t="s">
        <v>14</v>
      </c>
      <c r="I93" s="699">
        <v>56</v>
      </c>
    </row>
    <row r="94" spans="2:9" ht="20.100000000000001" customHeight="1">
      <c r="B94" s="363" t="s">
        <v>487</v>
      </c>
      <c r="C94" s="661" t="s">
        <v>14</v>
      </c>
      <c r="D94" s="366">
        <v>-12</v>
      </c>
      <c r="E94" s="366" t="s">
        <v>14</v>
      </c>
      <c r="F94" s="366" t="s">
        <v>14</v>
      </c>
      <c r="G94" s="366" t="s">
        <v>14</v>
      </c>
      <c r="H94" s="366" t="s">
        <v>14</v>
      </c>
      <c r="I94" s="699">
        <v>-12</v>
      </c>
    </row>
    <row r="95" spans="2:9" ht="20.100000000000001" customHeight="1">
      <c r="B95" s="365" t="s">
        <v>486</v>
      </c>
      <c r="C95" s="664" t="s">
        <v>14</v>
      </c>
      <c r="D95" s="367">
        <v>-102</v>
      </c>
      <c r="E95" s="367" t="s">
        <v>14</v>
      </c>
      <c r="F95" s="367">
        <v>-88</v>
      </c>
      <c r="G95" s="367">
        <v>-14</v>
      </c>
      <c r="H95" s="367" t="s">
        <v>14</v>
      </c>
      <c r="I95" s="698">
        <v>-204</v>
      </c>
    </row>
    <row r="96" spans="2:9" ht="20.100000000000001" customHeight="1">
      <c r="B96" s="679" t="s">
        <v>492</v>
      </c>
      <c r="C96" s="432" t="s">
        <v>14</v>
      </c>
      <c r="D96" s="344">
        <v>2220</v>
      </c>
      <c r="E96" s="344">
        <v>71</v>
      </c>
      <c r="F96" s="344">
        <v>1121</v>
      </c>
      <c r="G96" s="344">
        <v>178</v>
      </c>
      <c r="H96" s="344" t="s">
        <v>14</v>
      </c>
      <c r="I96" s="434">
        <v>3590</v>
      </c>
    </row>
    <row r="97" spans="2:9" ht="20.100000000000001" customHeight="1">
      <c r="B97" s="363" t="s">
        <v>490</v>
      </c>
      <c r="C97" s="661" t="s">
        <v>14</v>
      </c>
      <c r="D97" s="366">
        <v>16</v>
      </c>
      <c r="E97" s="366" t="s">
        <v>14</v>
      </c>
      <c r="F97" s="366">
        <v>68</v>
      </c>
      <c r="G97" s="366">
        <v>-1</v>
      </c>
      <c r="H97" s="366" t="s">
        <v>14</v>
      </c>
      <c r="I97" s="699">
        <v>83</v>
      </c>
    </row>
    <row r="98" spans="2:9" ht="15.75">
      <c r="B98" s="363" t="s">
        <v>489</v>
      </c>
      <c r="C98" s="661" t="s">
        <v>14</v>
      </c>
      <c r="D98" s="366">
        <v>331</v>
      </c>
      <c r="E98" s="366" t="s">
        <v>14</v>
      </c>
      <c r="F98" s="366" t="s">
        <v>14</v>
      </c>
      <c r="G98" s="366" t="s">
        <v>14</v>
      </c>
      <c r="H98" s="366" t="s">
        <v>14</v>
      </c>
      <c r="I98" s="699">
        <v>331</v>
      </c>
    </row>
    <row r="99" spans="2:9" ht="20.100000000000001" customHeight="1">
      <c r="B99" s="363" t="s">
        <v>488</v>
      </c>
      <c r="C99" s="661" t="s">
        <v>14</v>
      </c>
      <c r="D99" s="366" t="s">
        <v>14</v>
      </c>
      <c r="E99" s="366" t="s">
        <v>14</v>
      </c>
      <c r="F99" s="366">
        <v>190</v>
      </c>
      <c r="G99" s="366" t="s">
        <v>14</v>
      </c>
      <c r="H99" s="366" t="s">
        <v>14</v>
      </c>
      <c r="I99" s="699">
        <v>190</v>
      </c>
    </row>
    <row r="100" spans="2:9" ht="20.100000000000001" customHeight="1">
      <c r="B100" s="363" t="s">
        <v>487</v>
      </c>
      <c r="C100" s="661" t="s">
        <v>14</v>
      </c>
      <c r="D100" s="366">
        <v>-59</v>
      </c>
      <c r="E100" s="366" t="s">
        <v>14</v>
      </c>
      <c r="F100" s="366" t="s">
        <v>14</v>
      </c>
      <c r="G100" s="366" t="s">
        <v>14</v>
      </c>
      <c r="H100" s="366" t="s">
        <v>14</v>
      </c>
      <c r="I100" s="699">
        <v>-59</v>
      </c>
    </row>
    <row r="101" spans="2:9" ht="20.100000000000001" customHeight="1">
      <c r="B101" s="365" t="s">
        <v>486</v>
      </c>
      <c r="C101" s="664" t="s">
        <v>14</v>
      </c>
      <c r="D101" s="367">
        <v>-119</v>
      </c>
      <c r="E101" s="367">
        <v>-1</v>
      </c>
      <c r="F101" s="367">
        <v>-87</v>
      </c>
      <c r="G101" s="367">
        <v>-12</v>
      </c>
      <c r="H101" s="367" t="s">
        <v>14</v>
      </c>
      <c r="I101" s="698">
        <v>-219</v>
      </c>
    </row>
    <row r="102" spans="2:9" ht="20.100000000000001" customHeight="1">
      <c r="B102" s="679" t="s">
        <v>491</v>
      </c>
      <c r="C102" s="432" t="s">
        <v>14</v>
      </c>
      <c r="D102" s="344">
        <v>2389</v>
      </c>
      <c r="E102" s="344">
        <v>70</v>
      </c>
      <c r="F102" s="344">
        <v>1292</v>
      </c>
      <c r="G102" s="344">
        <v>165</v>
      </c>
      <c r="H102" s="344" t="s">
        <v>14</v>
      </c>
      <c r="I102" s="434">
        <v>3916</v>
      </c>
    </row>
    <row r="103" spans="2:9" ht="20.100000000000001" customHeight="1">
      <c r="B103" s="363" t="s">
        <v>490</v>
      </c>
      <c r="C103" s="661" t="s">
        <v>468</v>
      </c>
      <c r="D103" s="366">
        <v>17</v>
      </c>
      <c r="E103" s="366" t="s">
        <v>468</v>
      </c>
      <c r="F103" s="366">
        <v>45</v>
      </c>
      <c r="G103" s="366">
        <v>-6</v>
      </c>
      <c r="H103" s="366" t="s">
        <v>468</v>
      </c>
      <c r="I103" s="699">
        <v>56</v>
      </c>
    </row>
    <row r="104" spans="2:9" ht="15.75">
      <c r="B104" s="363" t="s">
        <v>489</v>
      </c>
      <c r="C104" s="661" t="s">
        <v>468</v>
      </c>
      <c r="D104" s="366">
        <v>124</v>
      </c>
      <c r="E104" s="366" t="s">
        <v>468</v>
      </c>
      <c r="F104" s="366" t="s">
        <v>468</v>
      </c>
      <c r="G104" s="366" t="s">
        <v>468</v>
      </c>
      <c r="H104" s="366" t="s">
        <v>468</v>
      </c>
      <c r="I104" s="699">
        <v>124</v>
      </c>
    </row>
    <row r="105" spans="2:9" ht="20.100000000000001" customHeight="1">
      <c r="B105" s="363" t="s">
        <v>488</v>
      </c>
      <c r="C105" s="661" t="s">
        <v>468</v>
      </c>
      <c r="D105" s="366">
        <v>35</v>
      </c>
      <c r="E105" s="366" t="s">
        <v>468</v>
      </c>
      <c r="F105" s="366" t="s">
        <v>468</v>
      </c>
      <c r="G105" s="366" t="s">
        <v>468</v>
      </c>
      <c r="H105" s="366" t="s">
        <v>468</v>
      </c>
      <c r="I105" s="699">
        <v>35</v>
      </c>
    </row>
    <row r="106" spans="2:9" ht="20.100000000000001" customHeight="1">
      <c r="B106" s="363" t="s">
        <v>487</v>
      </c>
      <c r="C106" s="661" t="s">
        <v>468</v>
      </c>
      <c r="D106" s="366" t="s">
        <v>468</v>
      </c>
      <c r="E106" s="366" t="s">
        <v>468</v>
      </c>
      <c r="F106" s="366" t="s">
        <v>468</v>
      </c>
      <c r="G106" s="366" t="s">
        <v>468</v>
      </c>
      <c r="H106" s="366" t="s">
        <v>468</v>
      </c>
      <c r="I106" s="699" t="s">
        <v>468</v>
      </c>
    </row>
    <row r="107" spans="2:9" ht="20.100000000000001" customHeight="1">
      <c r="B107" s="365" t="s">
        <v>486</v>
      </c>
      <c r="C107" s="664" t="s">
        <v>468</v>
      </c>
      <c r="D107" s="367">
        <v>-114</v>
      </c>
      <c r="E107" s="367">
        <v>-7</v>
      </c>
      <c r="F107" s="367">
        <v>-100</v>
      </c>
      <c r="G107" s="367">
        <v>-12</v>
      </c>
      <c r="H107" s="367" t="s">
        <v>468</v>
      </c>
      <c r="I107" s="698">
        <v>-233</v>
      </c>
    </row>
    <row r="108" spans="2:9" ht="20.100000000000001" customHeight="1">
      <c r="B108" s="647" t="s">
        <v>485</v>
      </c>
      <c r="C108" s="586" t="s">
        <v>468</v>
      </c>
      <c r="D108" s="585">
        <v>2451</v>
      </c>
      <c r="E108" s="585">
        <v>63</v>
      </c>
      <c r="F108" s="585">
        <v>1237</v>
      </c>
      <c r="G108" s="585">
        <v>147</v>
      </c>
      <c r="H108" s="585" t="s">
        <v>468</v>
      </c>
      <c r="I108" s="697">
        <v>3898</v>
      </c>
    </row>
    <row r="110" spans="2:9" ht="20.100000000000001" customHeight="1">
      <c r="C110" s="42"/>
      <c r="D110" s="42"/>
      <c r="E110" s="42"/>
      <c r="F110" s="42"/>
      <c r="G110" s="42"/>
      <c r="H110" s="42"/>
      <c r="I110" s="42"/>
    </row>
    <row r="111" spans="2:9" ht="20.100000000000001" customHeight="1">
      <c r="B111" s="696" t="s">
        <v>484</v>
      </c>
      <c r="C111" s="1192" t="s">
        <v>483</v>
      </c>
      <c r="D111" s="1192"/>
      <c r="E111" s="1192"/>
      <c r="F111" s="1192"/>
      <c r="G111" s="1192"/>
      <c r="H111" s="1192"/>
      <c r="I111" s="1192"/>
    </row>
    <row r="112" spans="2:9" ht="54" customHeight="1">
      <c r="B112" s="695" t="s">
        <v>473</v>
      </c>
      <c r="C112" s="694" t="s">
        <v>482</v>
      </c>
      <c r="D112" s="693" t="s">
        <v>421</v>
      </c>
      <c r="E112" s="694" t="s">
        <v>481</v>
      </c>
      <c r="F112" s="694" t="s">
        <v>480</v>
      </c>
      <c r="G112" s="694" t="s">
        <v>443</v>
      </c>
      <c r="H112" s="693" t="s">
        <v>434</v>
      </c>
      <c r="I112" s="693" t="s">
        <v>36</v>
      </c>
    </row>
    <row r="113" spans="2:9" ht="20.100000000000001" customHeight="1">
      <c r="B113" s="692" t="s">
        <v>479</v>
      </c>
      <c r="C113" s="689"/>
      <c r="D113" s="689"/>
      <c r="E113" s="691"/>
      <c r="F113" s="691"/>
      <c r="G113" s="690"/>
      <c r="H113" s="689"/>
      <c r="I113" s="688"/>
    </row>
    <row r="114" spans="2:9" ht="20.100000000000001" customHeight="1">
      <c r="B114" s="679" t="s">
        <v>473</v>
      </c>
      <c r="C114" s="687">
        <v>2256</v>
      </c>
      <c r="D114" s="687">
        <v>1065</v>
      </c>
      <c r="E114" s="676">
        <v>2790</v>
      </c>
      <c r="F114" s="676">
        <v>2120</v>
      </c>
      <c r="G114" s="676">
        <v>2172</v>
      </c>
      <c r="H114" s="676">
        <v>965</v>
      </c>
      <c r="I114" s="686">
        <v>11368</v>
      </c>
    </row>
    <row r="115" spans="2:9" ht="20.100000000000001" customHeight="1">
      <c r="B115" s="363" t="s">
        <v>470</v>
      </c>
      <c r="C115" s="661">
        <v>2256</v>
      </c>
      <c r="D115" s="661">
        <v>30</v>
      </c>
      <c r="E115" s="366">
        <v>2711</v>
      </c>
      <c r="F115" s="366">
        <v>631</v>
      </c>
      <c r="G115" s="366">
        <v>1770</v>
      </c>
      <c r="H115" s="366">
        <v>965</v>
      </c>
      <c r="I115" s="660">
        <v>8363</v>
      </c>
    </row>
    <row r="116" spans="2:9" ht="20.100000000000001" customHeight="1">
      <c r="B116" s="365" t="s">
        <v>469</v>
      </c>
      <c r="C116" s="664" t="s">
        <v>14</v>
      </c>
      <c r="D116" s="664">
        <v>1035</v>
      </c>
      <c r="E116" s="367">
        <v>79</v>
      </c>
      <c r="F116" s="367">
        <v>1489</v>
      </c>
      <c r="G116" s="367">
        <v>402</v>
      </c>
      <c r="H116" s="367" t="s">
        <v>14</v>
      </c>
      <c r="I116" s="663">
        <v>3005</v>
      </c>
    </row>
    <row r="117" spans="2:9" ht="20.100000000000001" customHeight="1">
      <c r="B117" s="679" t="s">
        <v>472</v>
      </c>
      <c r="C117" s="687">
        <v>881</v>
      </c>
      <c r="D117" s="687">
        <v>754</v>
      </c>
      <c r="E117" s="676">
        <v>1410</v>
      </c>
      <c r="F117" s="676">
        <v>1891</v>
      </c>
      <c r="G117" s="676">
        <v>616</v>
      </c>
      <c r="H117" s="676">
        <v>237</v>
      </c>
      <c r="I117" s="686">
        <v>5789</v>
      </c>
    </row>
    <row r="118" spans="2:9" ht="20.100000000000001" customHeight="1">
      <c r="B118" s="363" t="s">
        <v>470</v>
      </c>
      <c r="C118" s="661">
        <v>881</v>
      </c>
      <c r="D118" s="661">
        <v>23</v>
      </c>
      <c r="E118" s="366">
        <v>1389</v>
      </c>
      <c r="F118" s="366">
        <v>522</v>
      </c>
      <c r="G118" s="366">
        <v>475</v>
      </c>
      <c r="H118" s="366">
        <v>237</v>
      </c>
      <c r="I118" s="660">
        <v>3527</v>
      </c>
    </row>
    <row r="119" spans="2:9" ht="20.100000000000001" customHeight="1">
      <c r="B119" s="365" t="s">
        <v>469</v>
      </c>
      <c r="C119" s="664" t="s">
        <v>14</v>
      </c>
      <c r="D119" s="664">
        <v>731</v>
      </c>
      <c r="E119" s="367">
        <v>21</v>
      </c>
      <c r="F119" s="367">
        <v>1369</v>
      </c>
      <c r="G119" s="367">
        <v>141</v>
      </c>
      <c r="H119" s="367" t="s">
        <v>14</v>
      </c>
      <c r="I119" s="663">
        <v>2262</v>
      </c>
    </row>
    <row r="120" spans="2:9" ht="20.100000000000001" customHeight="1">
      <c r="B120" s="679" t="s">
        <v>471</v>
      </c>
      <c r="C120" s="687">
        <v>1375</v>
      </c>
      <c r="D120" s="687">
        <v>311</v>
      </c>
      <c r="E120" s="676">
        <v>1380</v>
      </c>
      <c r="F120" s="676">
        <v>229</v>
      </c>
      <c r="G120" s="676">
        <v>1556</v>
      </c>
      <c r="H120" s="676">
        <v>728</v>
      </c>
      <c r="I120" s="686">
        <v>5579</v>
      </c>
    </row>
    <row r="121" spans="2:9" ht="20.100000000000001" customHeight="1">
      <c r="B121" s="363" t="s">
        <v>470</v>
      </c>
      <c r="C121" s="661">
        <v>1375</v>
      </c>
      <c r="D121" s="661">
        <v>7</v>
      </c>
      <c r="E121" s="366">
        <v>1322</v>
      </c>
      <c r="F121" s="366">
        <v>109</v>
      </c>
      <c r="G121" s="366">
        <v>1295</v>
      </c>
      <c r="H121" s="366">
        <v>728</v>
      </c>
      <c r="I121" s="660">
        <v>4836</v>
      </c>
    </row>
    <row r="122" spans="2:9" ht="20.100000000000001" customHeight="1">
      <c r="B122" s="659" t="s">
        <v>469</v>
      </c>
      <c r="C122" s="658" t="s">
        <v>14</v>
      </c>
      <c r="D122" s="658">
        <v>304</v>
      </c>
      <c r="E122" s="657">
        <v>58</v>
      </c>
      <c r="F122" s="657">
        <v>120</v>
      </c>
      <c r="G122" s="657">
        <v>261</v>
      </c>
      <c r="H122" s="657" t="s">
        <v>14</v>
      </c>
      <c r="I122" s="656">
        <v>743</v>
      </c>
    </row>
    <row r="123" spans="2:9" ht="20.100000000000001" customHeight="1">
      <c r="B123" s="678" t="s">
        <v>478</v>
      </c>
      <c r="C123" s="683"/>
      <c r="D123" s="683"/>
      <c r="E123" s="685"/>
      <c r="F123" s="685"/>
      <c r="G123" s="684"/>
      <c r="H123" s="683"/>
      <c r="I123" s="682"/>
    </row>
    <row r="124" spans="2:9" ht="20.100000000000001" customHeight="1">
      <c r="B124" s="673" t="s">
        <v>473</v>
      </c>
      <c r="C124" s="672">
        <v>2287</v>
      </c>
      <c r="D124" s="672">
        <v>1670</v>
      </c>
      <c r="E124" s="677">
        <v>2490</v>
      </c>
      <c r="F124" s="677">
        <v>1925</v>
      </c>
      <c r="G124" s="676">
        <v>2072</v>
      </c>
      <c r="H124" s="672">
        <v>1082</v>
      </c>
      <c r="I124" s="671">
        <v>11526</v>
      </c>
    </row>
    <row r="125" spans="2:9" ht="20.100000000000001" customHeight="1">
      <c r="B125" s="363" t="s">
        <v>470</v>
      </c>
      <c r="C125" s="661">
        <v>2287</v>
      </c>
      <c r="D125" s="661">
        <v>28</v>
      </c>
      <c r="E125" s="366">
        <v>2414</v>
      </c>
      <c r="F125" s="366">
        <v>590</v>
      </c>
      <c r="G125" s="366">
        <v>1824</v>
      </c>
      <c r="H125" s="661">
        <v>1082</v>
      </c>
      <c r="I125" s="660">
        <v>8225</v>
      </c>
    </row>
    <row r="126" spans="2:9" ht="20.100000000000001" customHeight="1">
      <c r="B126" s="681" t="s">
        <v>469</v>
      </c>
      <c r="C126" s="674" t="s">
        <v>14</v>
      </c>
      <c r="D126" s="674">
        <v>1642</v>
      </c>
      <c r="E126" s="675">
        <v>76</v>
      </c>
      <c r="F126" s="675">
        <v>1335</v>
      </c>
      <c r="G126" s="675">
        <v>248</v>
      </c>
      <c r="H126" s="674" t="s">
        <v>14</v>
      </c>
      <c r="I126" s="680">
        <v>3301</v>
      </c>
    </row>
    <row r="127" spans="2:9" ht="20.100000000000001" customHeight="1">
      <c r="B127" s="679" t="s">
        <v>472</v>
      </c>
      <c r="C127" s="432">
        <v>1080</v>
      </c>
      <c r="D127" s="432">
        <v>783</v>
      </c>
      <c r="E127" s="344">
        <v>1316</v>
      </c>
      <c r="F127" s="344">
        <v>1730</v>
      </c>
      <c r="G127" s="344">
        <v>540</v>
      </c>
      <c r="H127" s="432">
        <v>225</v>
      </c>
      <c r="I127" s="436">
        <v>5674</v>
      </c>
    </row>
    <row r="128" spans="2:9" ht="20.100000000000001" customHeight="1">
      <c r="B128" s="363" t="s">
        <v>470</v>
      </c>
      <c r="C128" s="661">
        <v>1080</v>
      </c>
      <c r="D128" s="661">
        <v>21</v>
      </c>
      <c r="E128" s="366">
        <v>1298</v>
      </c>
      <c r="F128" s="366">
        <v>484</v>
      </c>
      <c r="G128" s="366">
        <v>452</v>
      </c>
      <c r="H128" s="661">
        <v>225</v>
      </c>
      <c r="I128" s="660">
        <v>3560</v>
      </c>
    </row>
    <row r="129" spans="2:9" ht="20.100000000000001" customHeight="1">
      <c r="B129" s="365" t="s">
        <v>469</v>
      </c>
      <c r="C129" s="664" t="s">
        <v>14</v>
      </c>
      <c r="D129" s="664">
        <v>762</v>
      </c>
      <c r="E129" s="367">
        <v>18</v>
      </c>
      <c r="F129" s="367">
        <v>1246</v>
      </c>
      <c r="G129" s="367">
        <v>88</v>
      </c>
      <c r="H129" s="664" t="s">
        <v>14</v>
      </c>
      <c r="I129" s="663">
        <v>2114</v>
      </c>
    </row>
    <row r="130" spans="2:9" ht="20.100000000000001" customHeight="1">
      <c r="B130" s="679" t="s">
        <v>471</v>
      </c>
      <c r="C130" s="432">
        <v>1207</v>
      </c>
      <c r="D130" s="432">
        <v>887</v>
      </c>
      <c r="E130" s="344">
        <v>1174</v>
      </c>
      <c r="F130" s="344">
        <v>195</v>
      </c>
      <c r="G130" s="344">
        <v>1532</v>
      </c>
      <c r="H130" s="432">
        <v>857</v>
      </c>
      <c r="I130" s="436">
        <v>5852</v>
      </c>
    </row>
    <row r="131" spans="2:9" ht="20.100000000000001" customHeight="1">
      <c r="B131" s="363" t="s">
        <v>470</v>
      </c>
      <c r="C131" s="661">
        <v>1207</v>
      </c>
      <c r="D131" s="661">
        <v>7</v>
      </c>
      <c r="E131" s="366">
        <v>1116</v>
      </c>
      <c r="F131" s="366">
        <v>106</v>
      </c>
      <c r="G131" s="366">
        <v>1372</v>
      </c>
      <c r="H131" s="366">
        <v>857</v>
      </c>
      <c r="I131" s="660">
        <v>4665</v>
      </c>
    </row>
    <row r="132" spans="2:9" ht="20.100000000000001" customHeight="1">
      <c r="B132" s="659" t="s">
        <v>469</v>
      </c>
      <c r="C132" s="658" t="s">
        <v>14</v>
      </c>
      <c r="D132" s="658">
        <v>880</v>
      </c>
      <c r="E132" s="657">
        <v>58</v>
      </c>
      <c r="F132" s="657">
        <v>89</v>
      </c>
      <c r="G132" s="657">
        <v>160</v>
      </c>
      <c r="H132" s="657" t="s">
        <v>14</v>
      </c>
      <c r="I132" s="656">
        <v>1187</v>
      </c>
    </row>
    <row r="133" spans="2:9" ht="20.100000000000001" customHeight="1">
      <c r="B133" s="678" t="s">
        <v>477</v>
      </c>
      <c r="C133" s="683"/>
      <c r="D133" s="683"/>
      <c r="E133" s="685"/>
      <c r="F133" s="685"/>
      <c r="G133" s="684"/>
      <c r="H133" s="683"/>
      <c r="I133" s="682"/>
    </row>
    <row r="134" spans="2:9" ht="20.100000000000001" customHeight="1">
      <c r="B134" s="673" t="s">
        <v>473</v>
      </c>
      <c r="C134" s="672">
        <v>1965</v>
      </c>
      <c r="D134" s="672">
        <v>2211</v>
      </c>
      <c r="E134" s="677">
        <v>2397</v>
      </c>
      <c r="F134" s="677">
        <v>1776</v>
      </c>
      <c r="G134" s="676">
        <v>2124</v>
      </c>
      <c r="H134" s="672">
        <v>1050</v>
      </c>
      <c r="I134" s="671">
        <v>11523</v>
      </c>
    </row>
    <row r="135" spans="2:9" ht="20.100000000000001" customHeight="1">
      <c r="B135" s="363" t="s">
        <v>470</v>
      </c>
      <c r="C135" s="661">
        <v>1965</v>
      </c>
      <c r="D135" s="661">
        <v>29</v>
      </c>
      <c r="E135" s="366">
        <v>2324</v>
      </c>
      <c r="F135" s="366">
        <v>557</v>
      </c>
      <c r="G135" s="366">
        <v>1888</v>
      </c>
      <c r="H135" s="661">
        <v>1050</v>
      </c>
      <c r="I135" s="660">
        <v>7813</v>
      </c>
    </row>
    <row r="136" spans="2:9" ht="20.100000000000001" customHeight="1">
      <c r="B136" s="681" t="s">
        <v>469</v>
      </c>
      <c r="C136" s="674" t="s">
        <v>14</v>
      </c>
      <c r="D136" s="674">
        <v>2182</v>
      </c>
      <c r="E136" s="675">
        <v>73</v>
      </c>
      <c r="F136" s="675">
        <v>1219</v>
      </c>
      <c r="G136" s="675">
        <v>236</v>
      </c>
      <c r="H136" s="674" t="s">
        <v>14</v>
      </c>
      <c r="I136" s="680">
        <v>3710</v>
      </c>
    </row>
    <row r="137" spans="2:9" ht="20.100000000000001" customHeight="1">
      <c r="B137" s="679" t="s">
        <v>472</v>
      </c>
      <c r="C137" s="432">
        <v>991</v>
      </c>
      <c r="D137" s="432">
        <v>1067</v>
      </c>
      <c r="E137" s="344">
        <v>1321</v>
      </c>
      <c r="F137" s="344">
        <v>1593</v>
      </c>
      <c r="G137" s="344">
        <v>535</v>
      </c>
      <c r="H137" s="432">
        <v>199</v>
      </c>
      <c r="I137" s="436">
        <v>5706</v>
      </c>
    </row>
    <row r="138" spans="2:9" ht="20.100000000000001" customHeight="1">
      <c r="B138" s="363" t="s">
        <v>470</v>
      </c>
      <c r="C138" s="661">
        <v>991</v>
      </c>
      <c r="D138" s="661">
        <v>18</v>
      </c>
      <c r="E138" s="366">
        <v>1304</v>
      </c>
      <c r="F138" s="366">
        <v>467</v>
      </c>
      <c r="G138" s="366">
        <v>450</v>
      </c>
      <c r="H138" s="661">
        <v>199</v>
      </c>
      <c r="I138" s="660">
        <v>3429</v>
      </c>
    </row>
    <row r="139" spans="2:9" ht="20.100000000000001" customHeight="1">
      <c r="B139" s="365" t="s">
        <v>469</v>
      </c>
      <c r="C139" s="664" t="s">
        <v>14</v>
      </c>
      <c r="D139" s="664">
        <v>1049</v>
      </c>
      <c r="E139" s="367">
        <v>17</v>
      </c>
      <c r="F139" s="367">
        <v>1126</v>
      </c>
      <c r="G139" s="367">
        <v>85</v>
      </c>
      <c r="H139" s="664" t="s">
        <v>14</v>
      </c>
      <c r="I139" s="663">
        <v>2277</v>
      </c>
    </row>
    <row r="140" spans="2:9" ht="20.100000000000001" customHeight="1">
      <c r="B140" s="679" t="s">
        <v>471</v>
      </c>
      <c r="C140" s="432">
        <v>974</v>
      </c>
      <c r="D140" s="432">
        <v>1144</v>
      </c>
      <c r="E140" s="344">
        <v>1076</v>
      </c>
      <c r="F140" s="344">
        <v>183</v>
      </c>
      <c r="G140" s="344">
        <v>1589</v>
      </c>
      <c r="H140" s="432">
        <v>851</v>
      </c>
      <c r="I140" s="436">
        <v>5817</v>
      </c>
    </row>
    <row r="141" spans="2:9" ht="20.100000000000001" customHeight="1">
      <c r="B141" s="363" t="s">
        <v>470</v>
      </c>
      <c r="C141" s="661">
        <v>974</v>
      </c>
      <c r="D141" s="661">
        <v>11</v>
      </c>
      <c r="E141" s="366">
        <v>1020</v>
      </c>
      <c r="F141" s="366">
        <v>90</v>
      </c>
      <c r="G141" s="366">
        <v>1438</v>
      </c>
      <c r="H141" s="366">
        <v>851</v>
      </c>
      <c r="I141" s="660">
        <v>4384</v>
      </c>
    </row>
    <row r="142" spans="2:9" ht="20.100000000000001" customHeight="1">
      <c r="B142" s="659" t="s">
        <v>469</v>
      </c>
      <c r="C142" s="658" t="s">
        <v>14</v>
      </c>
      <c r="D142" s="658">
        <v>1133</v>
      </c>
      <c r="E142" s="657">
        <v>56</v>
      </c>
      <c r="F142" s="657">
        <v>93</v>
      </c>
      <c r="G142" s="657">
        <v>151</v>
      </c>
      <c r="H142" s="657" t="s">
        <v>14</v>
      </c>
      <c r="I142" s="656">
        <v>1433</v>
      </c>
    </row>
    <row r="143" spans="2:9" ht="20.100000000000001" customHeight="1">
      <c r="B143" s="678" t="s">
        <v>476</v>
      </c>
      <c r="C143" s="683"/>
      <c r="D143" s="683"/>
      <c r="E143" s="685"/>
      <c r="F143" s="685"/>
      <c r="G143" s="684"/>
      <c r="H143" s="683"/>
      <c r="I143" s="682"/>
    </row>
    <row r="144" spans="2:9" ht="20.100000000000001" customHeight="1">
      <c r="B144" s="673" t="s">
        <v>473</v>
      </c>
      <c r="C144" s="672">
        <v>1812</v>
      </c>
      <c r="D144" s="672">
        <v>2245</v>
      </c>
      <c r="E144" s="677">
        <v>2091</v>
      </c>
      <c r="F144" s="677">
        <v>2430</v>
      </c>
      <c r="G144" s="676">
        <v>1977</v>
      </c>
      <c r="H144" s="672">
        <v>1025</v>
      </c>
      <c r="I144" s="671">
        <v>11580</v>
      </c>
    </row>
    <row r="145" spans="2:9" ht="20.100000000000001" customHeight="1">
      <c r="B145" s="363" t="s">
        <v>470</v>
      </c>
      <c r="C145" s="661">
        <v>1812</v>
      </c>
      <c r="D145" s="661">
        <v>25</v>
      </c>
      <c r="E145" s="366">
        <v>2020</v>
      </c>
      <c r="F145" s="366">
        <v>1309</v>
      </c>
      <c r="G145" s="366">
        <v>1799</v>
      </c>
      <c r="H145" s="661">
        <v>1025</v>
      </c>
      <c r="I145" s="660">
        <v>7990</v>
      </c>
    </row>
    <row r="146" spans="2:9" ht="20.100000000000001" customHeight="1">
      <c r="B146" s="681" t="s">
        <v>469</v>
      </c>
      <c r="C146" s="674" t="s">
        <v>14</v>
      </c>
      <c r="D146" s="674">
        <v>2220</v>
      </c>
      <c r="E146" s="675">
        <v>71</v>
      </c>
      <c r="F146" s="675">
        <v>1121</v>
      </c>
      <c r="G146" s="675">
        <v>178</v>
      </c>
      <c r="H146" s="674" t="s">
        <v>14</v>
      </c>
      <c r="I146" s="680">
        <v>3590</v>
      </c>
    </row>
    <row r="147" spans="2:9" ht="20.100000000000001" customHeight="1">
      <c r="B147" s="679" t="s">
        <v>472</v>
      </c>
      <c r="C147" s="432">
        <v>1009</v>
      </c>
      <c r="D147" s="432">
        <v>1070</v>
      </c>
      <c r="E147" s="344">
        <v>1173</v>
      </c>
      <c r="F147" s="344">
        <v>2062</v>
      </c>
      <c r="G147" s="344">
        <v>626</v>
      </c>
      <c r="H147" s="432">
        <v>246</v>
      </c>
      <c r="I147" s="436">
        <v>6186</v>
      </c>
    </row>
    <row r="148" spans="2:9" ht="20.100000000000001" customHeight="1">
      <c r="B148" s="363" t="s">
        <v>470</v>
      </c>
      <c r="C148" s="661">
        <v>1009</v>
      </c>
      <c r="D148" s="661">
        <v>16</v>
      </c>
      <c r="E148" s="366">
        <v>1161</v>
      </c>
      <c r="F148" s="366">
        <v>1070</v>
      </c>
      <c r="G148" s="366">
        <v>549</v>
      </c>
      <c r="H148" s="661">
        <v>246</v>
      </c>
      <c r="I148" s="660">
        <v>4051</v>
      </c>
    </row>
    <row r="149" spans="2:9" ht="20.100000000000001" customHeight="1">
      <c r="B149" s="365" t="s">
        <v>469</v>
      </c>
      <c r="C149" s="664" t="s">
        <v>14</v>
      </c>
      <c r="D149" s="664">
        <v>1054</v>
      </c>
      <c r="E149" s="367">
        <v>12</v>
      </c>
      <c r="F149" s="367">
        <v>992</v>
      </c>
      <c r="G149" s="367">
        <v>77</v>
      </c>
      <c r="H149" s="664" t="s">
        <v>14</v>
      </c>
      <c r="I149" s="663">
        <v>2135</v>
      </c>
    </row>
    <row r="150" spans="2:9" ht="20.100000000000001" customHeight="1">
      <c r="B150" s="679" t="s">
        <v>471</v>
      </c>
      <c r="C150" s="432">
        <v>803</v>
      </c>
      <c r="D150" s="432">
        <v>1175</v>
      </c>
      <c r="E150" s="344">
        <v>918</v>
      </c>
      <c r="F150" s="344">
        <v>368</v>
      </c>
      <c r="G150" s="344">
        <v>1351</v>
      </c>
      <c r="H150" s="432">
        <v>779</v>
      </c>
      <c r="I150" s="436">
        <v>5394</v>
      </c>
    </row>
    <row r="151" spans="2:9" ht="20.100000000000001" customHeight="1">
      <c r="B151" s="363" t="s">
        <v>470</v>
      </c>
      <c r="C151" s="661">
        <v>803</v>
      </c>
      <c r="D151" s="661">
        <v>9</v>
      </c>
      <c r="E151" s="366">
        <v>859</v>
      </c>
      <c r="F151" s="366">
        <v>239</v>
      </c>
      <c r="G151" s="366">
        <v>1250</v>
      </c>
      <c r="H151" s="366">
        <v>779</v>
      </c>
      <c r="I151" s="660">
        <v>3939</v>
      </c>
    </row>
    <row r="152" spans="2:9" ht="20.100000000000001" customHeight="1">
      <c r="B152" s="659" t="s">
        <v>469</v>
      </c>
      <c r="C152" s="658" t="s">
        <v>14</v>
      </c>
      <c r="D152" s="658">
        <v>1166</v>
      </c>
      <c r="E152" s="657">
        <v>59</v>
      </c>
      <c r="F152" s="657">
        <v>129</v>
      </c>
      <c r="G152" s="657">
        <v>101</v>
      </c>
      <c r="H152" s="657" t="s">
        <v>14</v>
      </c>
      <c r="I152" s="656">
        <v>1455</v>
      </c>
    </row>
    <row r="153" spans="2:9" ht="20.100000000000001" customHeight="1">
      <c r="B153" s="678" t="s">
        <v>475</v>
      </c>
      <c r="C153" s="667"/>
      <c r="D153" s="667"/>
      <c r="E153" s="669"/>
      <c r="F153" s="669"/>
      <c r="G153" s="668"/>
      <c r="H153" s="667"/>
      <c r="I153" s="666"/>
    </row>
    <row r="154" spans="2:9" ht="20.100000000000001" customHeight="1">
      <c r="B154" s="673" t="s">
        <v>473</v>
      </c>
      <c r="C154" s="672">
        <v>1726</v>
      </c>
      <c r="D154" s="672">
        <v>2400</v>
      </c>
      <c r="E154" s="677">
        <v>1872</v>
      </c>
      <c r="F154" s="677">
        <v>2734</v>
      </c>
      <c r="G154" s="676">
        <v>1804</v>
      </c>
      <c r="H154" s="672">
        <v>982</v>
      </c>
      <c r="I154" s="671">
        <v>11518</v>
      </c>
    </row>
    <row r="155" spans="2:9" ht="20.100000000000001" customHeight="1">
      <c r="B155" s="363" t="s">
        <v>470</v>
      </c>
      <c r="C155" s="661">
        <v>1726</v>
      </c>
      <c r="D155" s="661">
        <v>11</v>
      </c>
      <c r="E155" s="366">
        <v>1802</v>
      </c>
      <c r="F155" s="366">
        <v>1442</v>
      </c>
      <c r="G155" s="366">
        <v>1639</v>
      </c>
      <c r="H155" s="661">
        <v>982</v>
      </c>
      <c r="I155" s="660">
        <v>7602</v>
      </c>
    </row>
    <row r="156" spans="2:9" ht="20.100000000000001" customHeight="1">
      <c r="B156" s="365" t="s">
        <v>469</v>
      </c>
      <c r="C156" s="664" t="s">
        <v>14</v>
      </c>
      <c r="D156" s="674">
        <v>2389</v>
      </c>
      <c r="E156" s="675">
        <v>70</v>
      </c>
      <c r="F156" s="675">
        <v>1292</v>
      </c>
      <c r="G156" s="675">
        <v>165</v>
      </c>
      <c r="H156" s="674" t="s">
        <v>14</v>
      </c>
      <c r="I156" s="663">
        <v>3916</v>
      </c>
    </row>
    <row r="157" spans="2:9" ht="20.100000000000001" customHeight="1">
      <c r="B157" s="673" t="s">
        <v>472</v>
      </c>
      <c r="C157" s="672">
        <v>1025</v>
      </c>
      <c r="D157" s="432">
        <v>1017</v>
      </c>
      <c r="E157" s="344">
        <v>1141</v>
      </c>
      <c r="F157" s="344">
        <v>2281</v>
      </c>
      <c r="G157" s="344">
        <v>979</v>
      </c>
      <c r="H157" s="432">
        <v>224</v>
      </c>
      <c r="I157" s="671">
        <v>6667</v>
      </c>
    </row>
    <row r="158" spans="2:9" ht="20.100000000000001" customHeight="1">
      <c r="B158" s="363" t="s">
        <v>470</v>
      </c>
      <c r="C158" s="661">
        <v>1025</v>
      </c>
      <c r="D158" s="661">
        <v>7</v>
      </c>
      <c r="E158" s="366">
        <v>1132</v>
      </c>
      <c r="F158" s="366">
        <v>1158</v>
      </c>
      <c r="G158" s="366">
        <v>897</v>
      </c>
      <c r="H158" s="661">
        <v>224</v>
      </c>
      <c r="I158" s="660">
        <v>4443</v>
      </c>
    </row>
    <row r="159" spans="2:9" ht="20.100000000000001" customHeight="1">
      <c r="B159" s="365" t="s">
        <v>469</v>
      </c>
      <c r="C159" s="664" t="s">
        <v>14</v>
      </c>
      <c r="D159" s="664">
        <v>1010</v>
      </c>
      <c r="E159" s="367">
        <v>9</v>
      </c>
      <c r="F159" s="367">
        <v>1123</v>
      </c>
      <c r="G159" s="367">
        <v>82</v>
      </c>
      <c r="H159" s="664" t="s">
        <v>14</v>
      </c>
      <c r="I159" s="663">
        <v>2224</v>
      </c>
    </row>
    <row r="160" spans="2:9" ht="20.100000000000001" customHeight="1">
      <c r="B160" s="673" t="s">
        <v>471</v>
      </c>
      <c r="C160" s="672">
        <v>701</v>
      </c>
      <c r="D160" s="432">
        <v>1383</v>
      </c>
      <c r="E160" s="344">
        <v>731</v>
      </c>
      <c r="F160" s="344">
        <v>453</v>
      </c>
      <c r="G160" s="344">
        <v>825</v>
      </c>
      <c r="H160" s="432">
        <v>758</v>
      </c>
      <c r="I160" s="671">
        <v>4851</v>
      </c>
    </row>
    <row r="161" spans="2:9" ht="20.100000000000001" customHeight="1">
      <c r="B161" s="363" t="s">
        <v>470</v>
      </c>
      <c r="C161" s="661">
        <v>701</v>
      </c>
      <c r="D161" s="661">
        <v>4</v>
      </c>
      <c r="E161" s="366">
        <v>670</v>
      </c>
      <c r="F161" s="366">
        <v>284</v>
      </c>
      <c r="G161" s="366">
        <v>742</v>
      </c>
      <c r="H161" s="366">
        <v>758</v>
      </c>
      <c r="I161" s="660">
        <v>3159</v>
      </c>
    </row>
    <row r="162" spans="2:9" ht="20.100000000000001" customHeight="1">
      <c r="B162" s="659" t="s">
        <v>469</v>
      </c>
      <c r="C162" s="658" t="s">
        <v>14</v>
      </c>
      <c r="D162" s="658">
        <v>1379</v>
      </c>
      <c r="E162" s="657">
        <v>61</v>
      </c>
      <c r="F162" s="657">
        <v>169</v>
      </c>
      <c r="G162" s="657">
        <v>83</v>
      </c>
      <c r="H162" s="657" t="s">
        <v>14</v>
      </c>
      <c r="I162" s="656">
        <v>1692</v>
      </c>
    </row>
    <row r="163" spans="2:9" ht="20.100000000000001" customHeight="1">
      <c r="B163" s="670" t="s">
        <v>474</v>
      </c>
      <c r="C163" s="667"/>
      <c r="D163" s="667"/>
      <c r="E163" s="669"/>
      <c r="F163" s="669"/>
      <c r="G163" s="668"/>
      <c r="H163" s="667"/>
      <c r="I163" s="666"/>
    </row>
    <row r="164" spans="2:9" ht="20.100000000000001" customHeight="1">
      <c r="B164" s="665" t="s">
        <v>473</v>
      </c>
      <c r="C164" s="586">
        <v>1678</v>
      </c>
      <c r="D164" s="586">
        <v>2462</v>
      </c>
      <c r="E164" s="585">
        <v>1742</v>
      </c>
      <c r="F164" s="585">
        <v>2687</v>
      </c>
      <c r="G164" s="585">
        <v>1963</v>
      </c>
      <c r="H164" s="585">
        <v>943</v>
      </c>
      <c r="I164" s="662">
        <v>11475</v>
      </c>
    </row>
    <row r="165" spans="2:9" ht="20.100000000000001" customHeight="1">
      <c r="B165" s="363" t="s">
        <v>470</v>
      </c>
      <c r="C165" s="661">
        <v>1678</v>
      </c>
      <c r="D165" s="661">
        <v>11</v>
      </c>
      <c r="E165" s="366">
        <v>1679</v>
      </c>
      <c r="F165" s="366">
        <v>1450</v>
      </c>
      <c r="G165" s="366">
        <v>1816</v>
      </c>
      <c r="H165" s="366">
        <v>943</v>
      </c>
      <c r="I165" s="660">
        <v>7577</v>
      </c>
    </row>
    <row r="166" spans="2:9" ht="20.100000000000001" customHeight="1">
      <c r="B166" s="365" t="s">
        <v>469</v>
      </c>
      <c r="C166" s="664" t="s">
        <v>468</v>
      </c>
      <c r="D166" s="664">
        <v>2451</v>
      </c>
      <c r="E166" s="367">
        <v>63</v>
      </c>
      <c r="F166" s="367">
        <v>1237</v>
      </c>
      <c r="G166" s="367">
        <v>147</v>
      </c>
      <c r="H166" s="367" t="s">
        <v>468</v>
      </c>
      <c r="I166" s="663">
        <v>3898</v>
      </c>
    </row>
    <row r="167" spans="2:9" ht="20.100000000000001" customHeight="1">
      <c r="B167" s="647" t="s">
        <v>472</v>
      </c>
      <c r="C167" s="586">
        <v>1100</v>
      </c>
      <c r="D167" s="586">
        <v>1344</v>
      </c>
      <c r="E167" s="585">
        <v>1206</v>
      </c>
      <c r="F167" s="585">
        <v>2256</v>
      </c>
      <c r="G167" s="585">
        <v>907</v>
      </c>
      <c r="H167" s="585">
        <v>197</v>
      </c>
      <c r="I167" s="662">
        <v>7010</v>
      </c>
    </row>
    <row r="168" spans="2:9" ht="20.100000000000001" customHeight="1">
      <c r="B168" s="363" t="s">
        <v>470</v>
      </c>
      <c r="C168" s="661">
        <v>1100</v>
      </c>
      <c r="D168" s="661">
        <v>8</v>
      </c>
      <c r="E168" s="366">
        <v>1192</v>
      </c>
      <c r="F168" s="366">
        <v>1177</v>
      </c>
      <c r="G168" s="366">
        <v>836</v>
      </c>
      <c r="H168" s="366">
        <v>197</v>
      </c>
      <c r="I168" s="660">
        <v>4510</v>
      </c>
    </row>
    <row r="169" spans="2:9" ht="20.100000000000001" customHeight="1">
      <c r="B169" s="365" t="s">
        <v>469</v>
      </c>
      <c r="C169" s="664" t="s">
        <v>468</v>
      </c>
      <c r="D169" s="664">
        <v>1336</v>
      </c>
      <c r="E169" s="367">
        <v>14</v>
      </c>
      <c r="F169" s="367">
        <v>1079</v>
      </c>
      <c r="G169" s="367">
        <v>71</v>
      </c>
      <c r="H169" s="367" t="s">
        <v>468</v>
      </c>
      <c r="I169" s="663">
        <v>2500</v>
      </c>
    </row>
    <row r="170" spans="2:9" ht="20.100000000000001" customHeight="1">
      <c r="B170" s="647" t="s">
        <v>471</v>
      </c>
      <c r="C170" s="586">
        <v>578</v>
      </c>
      <c r="D170" s="586">
        <v>1118</v>
      </c>
      <c r="E170" s="585">
        <v>536</v>
      </c>
      <c r="F170" s="585">
        <v>431</v>
      </c>
      <c r="G170" s="585">
        <v>1056</v>
      </c>
      <c r="H170" s="585">
        <v>746</v>
      </c>
      <c r="I170" s="662">
        <v>4465</v>
      </c>
    </row>
    <row r="171" spans="2:9" ht="20.100000000000001" customHeight="1">
      <c r="B171" s="363" t="s">
        <v>470</v>
      </c>
      <c r="C171" s="661">
        <v>578</v>
      </c>
      <c r="D171" s="661">
        <v>3</v>
      </c>
      <c r="E171" s="366">
        <v>487</v>
      </c>
      <c r="F171" s="366">
        <v>273</v>
      </c>
      <c r="G171" s="366">
        <v>979</v>
      </c>
      <c r="H171" s="366">
        <v>746</v>
      </c>
      <c r="I171" s="660">
        <v>3066</v>
      </c>
    </row>
    <row r="172" spans="2:9" ht="20.100000000000001" customHeight="1">
      <c r="B172" s="659" t="s">
        <v>469</v>
      </c>
      <c r="C172" s="658" t="s">
        <v>468</v>
      </c>
      <c r="D172" s="658">
        <v>1115</v>
      </c>
      <c r="E172" s="657">
        <v>49</v>
      </c>
      <c r="F172" s="657">
        <v>158</v>
      </c>
      <c r="G172" s="657">
        <v>77</v>
      </c>
      <c r="H172" s="657" t="s">
        <v>468</v>
      </c>
      <c r="I172" s="656">
        <v>1399</v>
      </c>
    </row>
    <row r="174" spans="2:9" ht="20.100000000000001" customHeight="1">
      <c r="B174" s="75"/>
      <c r="C174" s="75"/>
      <c r="D174" s="75"/>
      <c r="E174" s="75"/>
      <c r="F174" s="75"/>
      <c r="G174" s="75"/>
      <c r="H174" s="75"/>
      <c r="I174" s="75"/>
    </row>
  </sheetData>
  <mergeCells count="5">
    <mergeCell ref="C111:I111"/>
    <mergeCell ref="B2:M2"/>
    <mergeCell ref="C23:I23"/>
    <mergeCell ref="B62:C62"/>
    <mergeCell ref="C70:I70"/>
  </mergeCells>
  <pageMargins left="0.74803149606299213" right="0.74803149606299213" top="0.98425196850393704" bottom="0.98425196850393704" header="0.51181102362204722" footer="0.51181102362204722"/>
  <pageSetup paperSize="9" scale="46" fitToHeight="3" orientation="portrait" horizontalDpi="4294967292" verticalDpi="4294967292" r:id="rId1"/>
  <rowBreaks count="2" manualBreakCount="2">
    <brk id="69" max="16383" man="1"/>
    <brk id="109" max="16383" man="1"/>
  </row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42">
    <tabColor rgb="FF733E8D"/>
  </sheetPr>
  <dimension ref="B2:L158"/>
  <sheetViews>
    <sheetView showGridLines="0" view="pageBreakPreview" zoomScaleNormal="120" zoomScaleSheetLayoutView="100" zoomScalePageLayoutView="120" workbookViewId="0">
      <selection activeCell="M17" sqref="M17"/>
    </sheetView>
  </sheetViews>
  <sheetFormatPr defaultColWidth="10.875" defaultRowHeight="20.100000000000001" customHeight="1"/>
  <cols>
    <col min="1" max="1" width="5.5" style="468" customWidth="1"/>
    <col min="2" max="2" width="49.375" style="468" customWidth="1"/>
    <col min="3" max="16384" width="10.875" style="468"/>
  </cols>
  <sheetData>
    <row r="2" spans="2:9" ht="20.100000000000001" customHeight="1">
      <c r="B2" s="1156" t="str">
        <f>UPPER("Changes in oil reserves")</f>
        <v>CHANGES IN OIL RESERVES</v>
      </c>
      <c r="C2" s="1156"/>
      <c r="D2" s="1156"/>
      <c r="E2" s="1156"/>
      <c r="F2" s="1156"/>
      <c r="G2" s="1156"/>
      <c r="H2" s="1156"/>
    </row>
    <row r="3" spans="2:9" ht="20.100000000000001" customHeight="1">
      <c r="B3" s="466"/>
    </row>
    <row r="4" spans="2:9" ht="20.100000000000001" customHeight="1">
      <c r="B4" s="1195" t="s">
        <v>528</v>
      </c>
      <c r="C4" s="1195"/>
      <c r="D4" s="1195"/>
      <c r="E4" s="1195"/>
      <c r="F4" s="1195"/>
      <c r="G4" s="1195"/>
      <c r="H4" s="1195"/>
    </row>
    <row r="5" spans="2:9" ht="20.100000000000001" customHeight="1">
      <c r="B5" s="1195"/>
      <c r="C5" s="1195"/>
      <c r="D5" s="1195"/>
      <c r="E5" s="1195"/>
      <c r="F5" s="1195"/>
      <c r="G5" s="1195"/>
      <c r="H5" s="1195"/>
    </row>
    <row r="6" spans="2:9" ht="20.100000000000001" customHeight="1">
      <c r="B6" s="715"/>
      <c r="C6" s="715"/>
      <c r="D6" s="715"/>
      <c r="E6" s="715"/>
      <c r="F6" s="715"/>
    </row>
    <row r="7" spans="2:9" ht="20.100000000000001" customHeight="1">
      <c r="B7" s="696" t="s">
        <v>527</v>
      </c>
      <c r="C7" s="1192" t="s">
        <v>470</v>
      </c>
      <c r="D7" s="1192"/>
      <c r="E7" s="1192"/>
      <c r="F7" s="1192"/>
      <c r="G7" s="1192"/>
      <c r="H7" s="1192"/>
      <c r="I7" s="1192"/>
    </row>
    <row r="8" spans="2:9" ht="58.5" customHeight="1">
      <c r="B8" s="695" t="s">
        <v>473</v>
      </c>
      <c r="C8" s="694" t="s">
        <v>482</v>
      </c>
      <c r="D8" s="693" t="s">
        <v>421</v>
      </c>
      <c r="E8" s="694" t="s">
        <v>481</v>
      </c>
      <c r="F8" s="694" t="s">
        <v>480</v>
      </c>
      <c r="G8" s="694" t="s">
        <v>443</v>
      </c>
      <c r="H8" s="693" t="s">
        <v>434</v>
      </c>
      <c r="I8" s="693" t="s">
        <v>36</v>
      </c>
    </row>
    <row r="9" spans="2:9" ht="20.100000000000001" customHeight="1">
      <c r="B9" s="679" t="s">
        <v>497</v>
      </c>
      <c r="C9" s="687">
        <v>1269</v>
      </c>
      <c r="D9" s="676">
        <v>20</v>
      </c>
      <c r="E9" s="676">
        <v>1899</v>
      </c>
      <c r="F9" s="676">
        <v>377</v>
      </c>
      <c r="G9" s="676">
        <v>73</v>
      </c>
      <c r="H9" s="676">
        <v>96</v>
      </c>
      <c r="I9" s="727">
        <v>3734</v>
      </c>
    </row>
    <row r="10" spans="2:9" ht="20.100000000000001" customHeight="1">
      <c r="B10" s="363" t="s">
        <v>490</v>
      </c>
      <c r="C10" s="661">
        <v>17</v>
      </c>
      <c r="D10" s="366">
        <v>7</v>
      </c>
      <c r="E10" s="366">
        <v>49</v>
      </c>
      <c r="F10" s="366">
        <v>14</v>
      </c>
      <c r="G10" s="366">
        <v>10</v>
      </c>
      <c r="H10" s="366">
        <v>6</v>
      </c>
      <c r="I10" s="699">
        <v>103</v>
      </c>
    </row>
    <row r="11" spans="2:9" ht="20.100000000000001" customHeight="1">
      <c r="B11" s="363" t="s">
        <v>489</v>
      </c>
      <c r="C11" s="661">
        <v>27</v>
      </c>
      <c r="D11" s="366">
        <v>3</v>
      </c>
      <c r="E11" s="366">
        <v>148</v>
      </c>
      <c r="F11" s="366">
        <v>28</v>
      </c>
      <c r="G11" s="366">
        <v>8</v>
      </c>
      <c r="H11" s="366">
        <v>3</v>
      </c>
      <c r="I11" s="699">
        <v>217</v>
      </c>
    </row>
    <row r="12" spans="2:9" ht="20.100000000000001" customHeight="1">
      <c r="B12" s="363" t="s">
        <v>488</v>
      </c>
      <c r="C12" s="661">
        <v>7</v>
      </c>
      <c r="D12" s="366" t="s">
        <v>14</v>
      </c>
      <c r="E12" s="366" t="s">
        <v>14</v>
      </c>
      <c r="F12" s="366" t="s">
        <v>14</v>
      </c>
      <c r="G12" s="366" t="s">
        <v>14</v>
      </c>
      <c r="H12" s="366" t="s">
        <v>14</v>
      </c>
      <c r="I12" s="699">
        <v>7</v>
      </c>
    </row>
    <row r="13" spans="2:9" ht="20.100000000000001" customHeight="1">
      <c r="B13" s="363" t="s">
        <v>487</v>
      </c>
      <c r="C13" s="661">
        <v>-32</v>
      </c>
      <c r="D13" s="366" t="s">
        <v>14</v>
      </c>
      <c r="E13" s="366">
        <v>-45</v>
      </c>
      <c r="F13" s="366" t="s">
        <v>14</v>
      </c>
      <c r="G13" s="366">
        <v>-2</v>
      </c>
      <c r="H13" s="366" t="s">
        <v>14</v>
      </c>
      <c r="I13" s="699">
        <v>-79</v>
      </c>
    </row>
    <row r="14" spans="2:9" ht="20.100000000000001" customHeight="1">
      <c r="B14" s="365" t="s">
        <v>486</v>
      </c>
      <c r="C14" s="664">
        <v>-74</v>
      </c>
      <c r="D14" s="367">
        <v>-3</v>
      </c>
      <c r="E14" s="367">
        <v>-185</v>
      </c>
      <c r="F14" s="367">
        <v>-45</v>
      </c>
      <c r="G14" s="367">
        <v>-12</v>
      </c>
      <c r="H14" s="367">
        <v>-10</v>
      </c>
      <c r="I14" s="698">
        <v>-329</v>
      </c>
    </row>
    <row r="15" spans="2:9" ht="20.100000000000001" customHeight="1">
      <c r="B15" s="679" t="s">
        <v>496</v>
      </c>
      <c r="C15" s="687">
        <v>1214</v>
      </c>
      <c r="D15" s="676">
        <v>27</v>
      </c>
      <c r="E15" s="676">
        <v>1866</v>
      </c>
      <c r="F15" s="676">
        <v>374</v>
      </c>
      <c r="G15" s="676">
        <v>77</v>
      </c>
      <c r="H15" s="676">
        <v>95</v>
      </c>
      <c r="I15" s="727">
        <v>3653</v>
      </c>
    </row>
    <row r="16" spans="2:9" ht="20.100000000000001" customHeight="1">
      <c r="B16" s="363" t="s">
        <v>490</v>
      </c>
      <c r="C16" s="661">
        <v>3</v>
      </c>
      <c r="D16" s="366" t="s">
        <v>14</v>
      </c>
      <c r="E16" s="366">
        <v>48</v>
      </c>
      <c r="F16" s="366">
        <v>9</v>
      </c>
      <c r="G16" s="366">
        <v>7</v>
      </c>
      <c r="H16" s="366">
        <v>91</v>
      </c>
      <c r="I16" s="699">
        <v>158</v>
      </c>
    </row>
    <row r="17" spans="2:9" ht="20.100000000000001" customHeight="1">
      <c r="B17" s="363" t="s">
        <v>489</v>
      </c>
      <c r="C17" s="661">
        <v>26</v>
      </c>
      <c r="D17" s="366">
        <v>1</v>
      </c>
      <c r="E17" s="366">
        <v>18</v>
      </c>
      <c r="F17" s="366">
        <v>2</v>
      </c>
      <c r="G17" s="366">
        <v>20</v>
      </c>
      <c r="H17" s="366">
        <v>1</v>
      </c>
      <c r="I17" s="699">
        <v>68</v>
      </c>
    </row>
    <row r="18" spans="2:9" ht="20.100000000000001" customHeight="1">
      <c r="B18" s="363" t="s">
        <v>488</v>
      </c>
      <c r="C18" s="661" t="s">
        <v>14</v>
      </c>
      <c r="D18" s="366" t="s">
        <v>14</v>
      </c>
      <c r="E18" s="366" t="s">
        <v>14</v>
      </c>
      <c r="F18" s="366" t="s">
        <v>14</v>
      </c>
      <c r="G18" s="366" t="s">
        <v>14</v>
      </c>
      <c r="H18" s="366">
        <v>34</v>
      </c>
      <c r="I18" s="699">
        <v>34</v>
      </c>
    </row>
    <row r="19" spans="2:9" ht="20.100000000000001" customHeight="1">
      <c r="B19" s="363" t="s">
        <v>487</v>
      </c>
      <c r="C19" s="661">
        <v>-49</v>
      </c>
      <c r="D19" s="366" t="s">
        <v>14</v>
      </c>
      <c r="E19" s="366" t="s">
        <v>14</v>
      </c>
      <c r="F19" s="366" t="s">
        <v>14</v>
      </c>
      <c r="G19" s="366">
        <v>-6</v>
      </c>
      <c r="H19" s="366" t="s">
        <v>14</v>
      </c>
      <c r="I19" s="699">
        <v>-55</v>
      </c>
    </row>
    <row r="20" spans="2:9" ht="20.100000000000001" customHeight="1">
      <c r="B20" s="365" t="s">
        <v>486</v>
      </c>
      <c r="C20" s="664">
        <v>-63</v>
      </c>
      <c r="D20" s="367">
        <v>-3</v>
      </c>
      <c r="E20" s="367">
        <v>-174</v>
      </c>
      <c r="F20" s="367">
        <v>-40</v>
      </c>
      <c r="G20" s="367">
        <v>-12</v>
      </c>
      <c r="H20" s="367">
        <v>-10</v>
      </c>
      <c r="I20" s="698">
        <v>-302</v>
      </c>
    </row>
    <row r="21" spans="2:9" ht="20.100000000000001" customHeight="1">
      <c r="B21" s="679" t="s">
        <v>495</v>
      </c>
      <c r="C21" s="687">
        <v>1131</v>
      </c>
      <c r="D21" s="676">
        <v>25</v>
      </c>
      <c r="E21" s="676">
        <v>1758</v>
      </c>
      <c r="F21" s="676">
        <v>345</v>
      </c>
      <c r="G21" s="676">
        <v>86</v>
      </c>
      <c r="H21" s="676">
        <v>211</v>
      </c>
      <c r="I21" s="727">
        <v>3556</v>
      </c>
    </row>
    <row r="22" spans="2:9" ht="17.25" customHeight="1">
      <c r="B22" s="363" t="s">
        <v>490</v>
      </c>
      <c r="C22" s="661">
        <v>13</v>
      </c>
      <c r="D22" s="366">
        <v>4</v>
      </c>
      <c r="E22" s="366">
        <v>27</v>
      </c>
      <c r="F22" s="366">
        <v>11</v>
      </c>
      <c r="G22" s="366">
        <v>3</v>
      </c>
      <c r="H22" s="366">
        <v>5</v>
      </c>
      <c r="I22" s="699">
        <v>63</v>
      </c>
    </row>
    <row r="23" spans="2:9" ht="20.100000000000001" customHeight="1">
      <c r="B23" s="363" t="s">
        <v>489</v>
      </c>
      <c r="C23" s="661">
        <v>3</v>
      </c>
      <c r="D23" s="366" t="s">
        <v>14</v>
      </c>
      <c r="E23" s="366">
        <v>101</v>
      </c>
      <c r="F23" s="366">
        <v>3</v>
      </c>
      <c r="G23" s="366">
        <v>14</v>
      </c>
      <c r="H23" s="366">
        <v>2</v>
      </c>
      <c r="I23" s="699">
        <v>123</v>
      </c>
    </row>
    <row r="24" spans="2:9" ht="20.100000000000001" customHeight="1">
      <c r="B24" s="363" t="s">
        <v>488</v>
      </c>
      <c r="C24" s="661" t="s">
        <v>14</v>
      </c>
      <c r="D24" s="366" t="s">
        <v>14</v>
      </c>
      <c r="E24" s="366" t="s">
        <v>14</v>
      </c>
      <c r="F24" s="366" t="s">
        <v>14</v>
      </c>
      <c r="G24" s="366" t="s">
        <v>14</v>
      </c>
      <c r="H24" s="366" t="s">
        <v>14</v>
      </c>
      <c r="I24" s="699" t="s">
        <v>14</v>
      </c>
    </row>
    <row r="25" spans="2:9" ht="20.100000000000001" customHeight="1">
      <c r="B25" s="363" t="s">
        <v>487</v>
      </c>
      <c r="C25" s="661">
        <v>-43</v>
      </c>
      <c r="D25" s="366" t="s">
        <v>14</v>
      </c>
      <c r="E25" s="366">
        <v>-20</v>
      </c>
      <c r="F25" s="366" t="s">
        <v>14</v>
      </c>
      <c r="G25" s="366" t="s">
        <v>14</v>
      </c>
      <c r="H25" s="366" t="s">
        <v>14</v>
      </c>
      <c r="I25" s="699">
        <v>-63</v>
      </c>
    </row>
    <row r="26" spans="2:9" ht="20.100000000000001" customHeight="1">
      <c r="B26" s="365" t="s">
        <v>486</v>
      </c>
      <c r="C26" s="664">
        <v>-61</v>
      </c>
      <c r="D26" s="367">
        <v>-3</v>
      </c>
      <c r="E26" s="367">
        <v>-178</v>
      </c>
      <c r="F26" s="367">
        <v>-32</v>
      </c>
      <c r="G26" s="367">
        <v>-15</v>
      </c>
      <c r="H26" s="367">
        <v>-11</v>
      </c>
      <c r="I26" s="698">
        <v>-300</v>
      </c>
    </row>
    <row r="27" spans="2:9" ht="20.100000000000001" customHeight="1">
      <c r="B27" s="679" t="s">
        <v>494</v>
      </c>
      <c r="C27" s="687">
        <v>1043</v>
      </c>
      <c r="D27" s="676">
        <v>26</v>
      </c>
      <c r="E27" s="676">
        <v>1688</v>
      </c>
      <c r="F27" s="676">
        <v>327</v>
      </c>
      <c r="G27" s="676">
        <v>88</v>
      </c>
      <c r="H27" s="676">
        <v>207</v>
      </c>
      <c r="I27" s="727">
        <v>3379</v>
      </c>
    </row>
    <row r="28" spans="2:9" ht="19.5" customHeight="1">
      <c r="B28" s="363" t="s">
        <v>490</v>
      </c>
      <c r="C28" s="661">
        <v>-9</v>
      </c>
      <c r="D28" s="366" t="s">
        <v>14</v>
      </c>
      <c r="E28" s="366">
        <v>3</v>
      </c>
      <c r="F28" s="366">
        <v>-46</v>
      </c>
      <c r="G28" s="366">
        <v>27</v>
      </c>
      <c r="H28" s="366">
        <v>10</v>
      </c>
      <c r="I28" s="699">
        <v>-15</v>
      </c>
    </row>
    <row r="29" spans="2:9" ht="20.100000000000001" customHeight="1">
      <c r="B29" s="363" t="s">
        <v>489</v>
      </c>
      <c r="C29" s="661">
        <v>4</v>
      </c>
      <c r="D29" s="366" t="s">
        <v>14</v>
      </c>
      <c r="E29" s="366">
        <v>8</v>
      </c>
      <c r="F29" s="366">
        <v>856</v>
      </c>
      <c r="G29" s="366">
        <v>2</v>
      </c>
      <c r="H29" s="366" t="s">
        <v>14</v>
      </c>
      <c r="I29" s="699">
        <v>870</v>
      </c>
    </row>
    <row r="30" spans="2:9" ht="20.100000000000001" customHeight="1">
      <c r="B30" s="363" t="s">
        <v>488</v>
      </c>
      <c r="C30" s="661" t="s">
        <v>14</v>
      </c>
      <c r="D30" s="366" t="s">
        <v>14</v>
      </c>
      <c r="E30" s="366" t="s">
        <v>14</v>
      </c>
      <c r="F30" s="366" t="s">
        <v>14</v>
      </c>
      <c r="G30" s="366" t="s">
        <v>14</v>
      </c>
      <c r="H30" s="366" t="s">
        <v>14</v>
      </c>
      <c r="I30" s="699" t="s">
        <v>14</v>
      </c>
    </row>
    <row r="31" spans="2:9" ht="20.100000000000001" customHeight="1">
      <c r="B31" s="363" t="s">
        <v>487</v>
      </c>
      <c r="C31" s="661">
        <v>-3</v>
      </c>
      <c r="D31" s="366" t="s">
        <v>14</v>
      </c>
      <c r="E31" s="366">
        <v>-58</v>
      </c>
      <c r="F31" s="366" t="s">
        <v>14</v>
      </c>
      <c r="G31" s="366" t="s">
        <v>14</v>
      </c>
      <c r="H31" s="366" t="s">
        <v>14</v>
      </c>
      <c r="I31" s="699">
        <v>-61</v>
      </c>
    </row>
    <row r="32" spans="2:9" ht="20.100000000000001" customHeight="1">
      <c r="B32" s="365" t="s">
        <v>486</v>
      </c>
      <c r="C32" s="664">
        <v>-59</v>
      </c>
      <c r="D32" s="367">
        <v>-3</v>
      </c>
      <c r="E32" s="367">
        <v>-191</v>
      </c>
      <c r="F32" s="367">
        <v>-86</v>
      </c>
      <c r="G32" s="367">
        <v>-16</v>
      </c>
      <c r="H32" s="367">
        <v>-12</v>
      </c>
      <c r="I32" s="698">
        <v>-367</v>
      </c>
    </row>
    <row r="33" spans="2:9" ht="20.100000000000001" customHeight="1">
      <c r="B33" s="679" t="s">
        <v>492</v>
      </c>
      <c r="C33" s="687">
        <v>976</v>
      </c>
      <c r="D33" s="676">
        <v>23</v>
      </c>
      <c r="E33" s="676">
        <v>1450</v>
      </c>
      <c r="F33" s="676">
        <v>1051</v>
      </c>
      <c r="G33" s="676">
        <v>101</v>
      </c>
      <c r="H33" s="676">
        <v>205</v>
      </c>
      <c r="I33" s="727">
        <v>3806</v>
      </c>
    </row>
    <row r="34" spans="2:9" ht="19.5" customHeight="1">
      <c r="B34" s="363" t="s">
        <v>490</v>
      </c>
      <c r="C34" s="661">
        <v>22</v>
      </c>
      <c r="D34" s="366">
        <v>1</v>
      </c>
      <c r="E34" s="366">
        <v>6</v>
      </c>
      <c r="F34" s="366">
        <v>239</v>
      </c>
      <c r="G34" s="366">
        <v>-9</v>
      </c>
      <c r="H34" s="366">
        <v>6</v>
      </c>
      <c r="I34" s="699">
        <v>265</v>
      </c>
    </row>
    <row r="35" spans="2:9" ht="20.100000000000001" customHeight="1">
      <c r="B35" s="363" t="s">
        <v>489</v>
      </c>
      <c r="C35" s="661">
        <v>14</v>
      </c>
      <c r="D35" s="366" t="s">
        <v>14</v>
      </c>
      <c r="E35" s="366">
        <v>11</v>
      </c>
      <c r="F35" s="366">
        <v>4</v>
      </c>
      <c r="G35" s="366">
        <v>11</v>
      </c>
      <c r="H35" s="366" t="s">
        <v>14</v>
      </c>
      <c r="I35" s="699">
        <v>40</v>
      </c>
    </row>
    <row r="36" spans="2:9" ht="20.100000000000001" customHeight="1">
      <c r="B36" s="363" t="s">
        <v>488</v>
      </c>
      <c r="C36" s="661" t="s">
        <v>14</v>
      </c>
      <c r="D36" s="366" t="s">
        <v>14</v>
      </c>
      <c r="E36" s="366" t="s">
        <v>14</v>
      </c>
      <c r="F36" s="366" t="s">
        <v>14</v>
      </c>
      <c r="G36" s="366" t="s">
        <v>14</v>
      </c>
      <c r="H36" s="366" t="s">
        <v>14</v>
      </c>
      <c r="I36" s="699" t="s">
        <v>14</v>
      </c>
    </row>
    <row r="37" spans="2:9" ht="20.100000000000001" customHeight="1">
      <c r="B37" s="363" t="s">
        <v>487</v>
      </c>
      <c r="C37" s="661">
        <v>-13</v>
      </c>
      <c r="D37" s="366">
        <v>-11</v>
      </c>
      <c r="E37" s="366" t="s">
        <v>14</v>
      </c>
      <c r="F37" s="366" t="s">
        <v>14</v>
      </c>
      <c r="G37" s="366">
        <v>-2</v>
      </c>
      <c r="H37" s="366" t="s">
        <v>14</v>
      </c>
      <c r="I37" s="699">
        <v>-26</v>
      </c>
    </row>
    <row r="38" spans="2:9" ht="20.100000000000001" customHeight="1">
      <c r="B38" s="365" t="s">
        <v>486</v>
      </c>
      <c r="C38" s="664">
        <v>-63</v>
      </c>
      <c r="D38" s="367">
        <v>-3</v>
      </c>
      <c r="E38" s="367">
        <v>-185</v>
      </c>
      <c r="F38" s="367">
        <v>-84</v>
      </c>
      <c r="G38" s="367">
        <v>-16</v>
      </c>
      <c r="H38" s="367">
        <v>-11</v>
      </c>
      <c r="I38" s="698">
        <v>-362</v>
      </c>
    </row>
    <row r="39" spans="2:9" ht="20.100000000000001" customHeight="1">
      <c r="B39" s="679" t="s">
        <v>491</v>
      </c>
      <c r="C39" s="687">
        <v>936</v>
      </c>
      <c r="D39" s="676">
        <v>10</v>
      </c>
      <c r="E39" s="676">
        <v>1282</v>
      </c>
      <c r="F39" s="676">
        <v>1210</v>
      </c>
      <c r="G39" s="676">
        <v>85</v>
      </c>
      <c r="H39" s="676">
        <v>200</v>
      </c>
      <c r="I39" s="727">
        <v>3723</v>
      </c>
    </row>
    <row r="40" spans="2:9" ht="19.5" customHeight="1">
      <c r="B40" s="363" t="s">
        <v>490</v>
      </c>
      <c r="C40" s="661">
        <v>42</v>
      </c>
      <c r="D40" s="366" t="s">
        <v>14</v>
      </c>
      <c r="E40" s="366">
        <v>94</v>
      </c>
      <c r="F40" s="366">
        <v>57</v>
      </c>
      <c r="G40" s="366">
        <v>7</v>
      </c>
      <c r="H40" s="366">
        <v>2</v>
      </c>
      <c r="I40" s="699">
        <v>202</v>
      </c>
    </row>
    <row r="41" spans="2:9" ht="20.100000000000001" customHeight="1">
      <c r="B41" s="363" t="s">
        <v>489</v>
      </c>
      <c r="C41" s="661" t="s">
        <v>14</v>
      </c>
      <c r="D41" s="366" t="s">
        <v>14</v>
      </c>
      <c r="E41" s="366">
        <v>18</v>
      </c>
      <c r="F41" s="366">
        <v>38</v>
      </c>
      <c r="G41" s="366">
        <v>91</v>
      </c>
      <c r="H41" s="366" t="s">
        <v>14</v>
      </c>
      <c r="I41" s="699">
        <v>147</v>
      </c>
    </row>
    <row r="42" spans="2:9" ht="20.100000000000001" customHeight="1">
      <c r="B42" s="363" t="s">
        <v>488</v>
      </c>
      <c r="C42" s="661">
        <v>3</v>
      </c>
      <c r="D42" s="366" t="s">
        <v>14</v>
      </c>
      <c r="E42" s="366">
        <v>2</v>
      </c>
      <c r="F42" s="366" t="s">
        <v>14</v>
      </c>
      <c r="G42" s="366" t="s">
        <v>14</v>
      </c>
      <c r="H42" s="366" t="s">
        <v>14</v>
      </c>
      <c r="I42" s="699">
        <v>5</v>
      </c>
    </row>
    <row r="43" spans="2:9" ht="20.100000000000001" customHeight="1">
      <c r="B43" s="363" t="s">
        <v>487</v>
      </c>
      <c r="C43" s="661">
        <v>-8</v>
      </c>
      <c r="D43" s="366" t="s">
        <v>14</v>
      </c>
      <c r="E43" s="366">
        <v>-26</v>
      </c>
      <c r="F43" s="366" t="s">
        <v>14</v>
      </c>
      <c r="G43" s="366" t="s">
        <v>14</v>
      </c>
      <c r="H43" s="366" t="s">
        <v>14</v>
      </c>
      <c r="I43" s="699">
        <v>-34</v>
      </c>
    </row>
    <row r="44" spans="2:9" ht="20.100000000000001" customHeight="1">
      <c r="B44" s="365" t="s">
        <v>486</v>
      </c>
      <c r="C44" s="664">
        <v>-71</v>
      </c>
      <c r="D44" s="367">
        <v>-1</v>
      </c>
      <c r="E44" s="367">
        <v>-182</v>
      </c>
      <c r="F44" s="367">
        <v>-87</v>
      </c>
      <c r="G44" s="367">
        <v>-15</v>
      </c>
      <c r="H44" s="367">
        <v>-10</v>
      </c>
      <c r="I44" s="698">
        <v>-366</v>
      </c>
    </row>
    <row r="45" spans="2:9" ht="20.100000000000001" customHeight="1">
      <c r="B45" s="647" t="s">
        <v>485</v>
      </c>
      <c r="C45" s="703">
        <v>902</v>
      </c>
      <c r="D45" s="702">
        <v>9</v>
      </c>
      <c r="E45" s="702">
        <v>1188</v>
      </c>
      <c r="F45" s="702">
        <v>1218</v>
      </c>
      <c r="G45" s="702">
        <v>168</v>
      </c>
      <c r="H45" s="702">
        <v>192</v>
      </c>
      <c r="I45" s="735">
        <v>3677</v>
      </c>
    </row>
    <row r="46" spans="2:9" ht="33" customHeight="1">
      <c r="B46" s="1193" t="s">
        <v>504</v>
      </c>
      <c r="C46" s="1193"/>
      <c r="D46" s="461"/>
      <c r="E46" s="461"/>
      <c r="F46" s="461"/>
      <c r="G46" s="461"/>
      <c r="H46" s="461"/>
      <c r="I46" s="461"/>
    </row>
    <row r="47" spans="2:9" s="435" customFormat="1" ht="20.100000000000001" customHeight="1">
      <c r="B47" s="648" t="s">
        <v>503</v>
      </c>
      <c r="C47" s="342" t="s">
        <v>14</v>
      </c>
      <c r="D47" s="342" t="s">
        <v>14</v>
      </c>
      <c r="E47" s="342">
        <v>87</v>
      </c>
      <c r="F47" s="342" t="s">
        <v>14</v>
      </c>
      <c r="G47" s="342" t="s">
        <v>14</v>
      </c>
      <c r="H47" s="342" t="s">
        <v>14</v>
      </c>
      <c r="I47" s="698">
        <v>87</v>
      </c>
    </row>
    <row r="48" spans="2:9" ht="20.100000000000001" customHeight="1">
      <c r="B48" s="706" t="s">
        <v>502</v>
      </c>
      <c r="C48" s="342" t="s">
        <v>14</v>
      </c>
      <c r="D48" s="342" t="s">
        <v>14</v>
      </c>
      <c r="E48" s="342">
        <v>140</v>
      </c>
      <c r="F48" s="342" t="s">
        <v>14</v>
      </c>
      <c r="G48" s="342" t="s">
        <v>14</v>
      </c>
      <c r="H48" s="342" t="s">
        <v>14</v>
      </c>
      <c r="I48" s="736">
        <v>140</v>
      </c>
    </row>
    <row r="49" spans="2:9" ht="20.100000000000001" customHeight="1">
      <c r="B49" s="706" t="s">
        <v>501</v>
      </c>
      <c r="C49" s="342" t="s">
        <v>14</v>
      </c>
      <c r="D49" s="342" t="s">
        <v>14</v>
      </c>
      <c r="E49" s="342">
        <v>128</v>
      </c>
      <c r="F49" s="342" t="s">
        <v>14</v>
      </c>
      <c r="G49" s="342" t="s">
        <v>14</v>
      </c>
      <c r="H49" s="342" t="s">
        <v>14</v>
      </c>
      <c r="I49" s="736">
        <v>128</v>
      </c>
    </row>
    <row r="50" spans="2:9" ht="20.100000000000001" customHeight="1">
      <c r="B50" s="706" t="s">
        <v>500</v>
      </c>
      <c r="C50" s="342" t="s">
        <v>14</v>
      </c>
      <c r="D50" s="342" t="s">
        <v>505</v>
      </c>
      <c r="E50" s="342">
        <v>115</v>
      </c>
      <c r="F50" s="342" t="s">
        <v>14</v>
      </c>
      <c r="G50" s="342" t="s">
        <v>14</v>
      </c>
      <c r="H50" s="342" t="s">
        <v>14</v>
      </c>
      <c r="I50" s="736">
        <v>115</v>
      </c>
    </row>
    <row r="51" spans="2:9" ht="20.100000000000001" customHeight="1">
      <c r="B51" s="706" t="s">
        <v>499</v>
      </c>
      <c r="C51" s="342" t="s">
        <v>14</v>
      </c>
      <c r="D51" s="342" t="s">
        <v>505</v>
      </c>
      <c r="E51" s="342">
        <v>95</v>
      </c>
      <c r="F51" s="342" t="s">
        <v>14</v>
      </c>
      <c r="G51" s="342" t="s">
        <v>14</v>
      </c>
      <c r="H51" s="342" t="s">
        <v>14</v>
      </c>
      <c r="I51" s="736">
        <v>95</v>
      </c>
    </row>
    <row r="52" spans="2:9" ht="20.100000000000001" customHeight="1">
      <c r="B52" s="647" t="s">
        <v>498</v>
      </c>
      <c r="C52" s="703" t="s">
        <v>14</v>
      </c>
      <c r="D52" s="702" t="s">
        <v>14</v>
      </c>
      <c r="E52" s="702">
        <v>93</v>
      </c>
      <c r="F52" s="702" t="s">
        <v>14</v>
      </c>
      <c r="G52" s="702" t="s">
        <v>14</v>
      </c>
      <c r="H52" s="702" t="s">
        <v>14</v>
      </c>
      <c r="I52" s="735">
        <v>93</v>
      </c>
    </row>
    <row r="54" spans="2:9" ht="20.100000000000001" customHeight="1">
      <c r="B54" s="696" t="s">
        <v>527</v>
      </c>
      <c r="C54" s="1192" t="s">
        <v>469</v>
      </c>
      <c r="D54" s="1192"/>
      <c r="E54" s="1192"/>
      <c r="F54" s="1192"/>
      <c r="G54" s="1192"/>
      <c r="H54" s="1192"/>
      <c r="I54" s="1192"/>
    </row>
    <row r="55" spans="2:9" ht="58.5" customHeight="1">
      <c r="B55" s="695" t="s">
        <v>473</v>
      </c>
      <c r="C55" s="694" t="s">
        <v>482</v>
      </c>
      <c r="D55" s="693" t="s">
        <v>421</v>
      </c>
      <c r="E55" s="694" t="s">
        <v>481</v>
      </c>
      <c r="F55" s="694" t="s">
        <v>480</v>
      </c>
      <c r="G55" s="694" t="s">
        <v>443</v>
      </c>
      <c r="H55" s="693" t="s">
        <v>434</v>
      </c>
      <c r="I55" s="693" t="s">
        <v>36</v>
      </c>
    </row>
    <row r="56" spans="2:9" ht="20.100000000000001" customHeight="1">
      <c r="B56" s="679" t="s">
        <v>497</v>
      </c>
      <c r="C56" s="734" t="s">
        <v>14</v>
      </c>
      <c r="D56" s="676">
        <v>48</v>
      </c>
      <c r="E56" s="676">
        <v>10</v>
      </c>
      <c r="F56" s="676">
        <v>565</v>
      </c>
      <c r="G56" s="676">
        <v>443</v>
      </c>
      <c r="H56" s="676" t="s">
        <v>14</v>
      </c>
      <c r="I56" s="727">
        <v>1066</v>
      </c>
    </row>
    <row r="57" spans="2:9" ht="20.100000000000001" customHeight="1">
      <c r="B57" s="363" t="s">
        <v>490</v>
      </c>
      <c r="C57" s="732" t="s">
        <v>14</v>
      </c>
      <c r="D57" s="366">
        <v>9</v>
      </c>
      <c r="E57" s="366">
        <v>5</v>
      </c>
      <c r="F57" s="366">
        <v>5</v>
      </c>
      <c r="G57" s="366">
        <v>-40</v>
      </c>
      <c r="H57" s="366" t="s">
        <v>14</v>
      </c>
      <c r="I57" s="699">
        <v>-21</v>
      </c>
    </row>
    <row r="58" spans="2:9" ht="20.100000000000001" customHeight="1">
      <c r="B58" s="363" t="s">
        <v>489</v>
      </c>
      <c r="C58" s="732" t="s">
        <v>14</v>
      </c>
      <c r="D58" s="366">
        <v>51</v>
      </c>
      <c r="E58" s="366" t="s">
        <v>14</v>
      </c>
      <c r="F58" s="366" t="s">
        <v>14</v>
      </c>
      <c r="G58" s="366" t="s">
        <v>14</v>
      </c>
      <c r="H58" s="366" t="s">
        <v>14</v>
      </c>
      <c r="I58" s="699">
        <v>51</v>
      </c>
    </row>
    <row r="59" spans="2:9" ht="20.100000000000001" customHeight="1">
      <c r="B59" s="363" t="s">
        <v>488</v>
      </c>
      <c r="C59" s="732" t="s">
        <v>14</v>
      </c>
      <c r="D59" s="366">
        <v>11</v>
      </c>
      <c r="E59" s="366" t="s">
        <v>14</v>
      </c>
      <c r="F59" s="366" t="s">
        <v>14</v>
      </c>
      <c r="G59" s="366" t="s">
        <v>14</v>
      </c>
      <c r="H59" s="366" t="s">
        <v>14</v>
      </c>
      <c r="I59" s="699">
        <v>11</v>
      </c>
    </row>
    <row r="60" spans="2:9" ht="20.100000000000001" customHeight="1">
      <c r="B60" s="363" t="s">
        <v>487</v>
      </c>
      <c r="C60" s="732" t="s">
        <v>14</v>
      </c>
      <c r="D60" s="366" t="s">
        <v>14</v>
      </c>
      <c r="E60" s="366" t="s">
        <v>14</v>
      </c>
      <c r="F60" s="366" t="s">
        <v>14</v>
      </c>
      <c r="G60" s="366" t="s">
        <v>14</v>
      </c>
      <c r="H60" s="366" t="s">
        <v>14</v>
      </c>
      <c r="I60" s="699" t="s">
        <v>14</v>
      </c>
    </row>
    <row r="61" spans="2:9" ht="20.100000000000001" customHeight="1">
      <c r="B61" s="365" t="s">
        <v>486</v>
      </c>
      <c r="C61" s="731" t="s">
        <v>14</v>
      </c>
      <c r="D61" s="367">
        <v>-5</v>
      </c>
      <c r="E61" s="367" t="s">
        <v>14</v>
      </c>
      <c r="F61" s="367">
        <v>-93</v>
      </c>
      <c r="G61" s="367">
        <v>-15</v>
      </c>
      <c r="H61" s="367" t="s">
        <v>14</v>
      </c>
      <c r="I61" s="698">
        <v>-113</v>
      </c>
    </row>
    <row r="62" spans="2:9" ht="20.100000000000001" customHeight="1">
      <c r="B62" s="679" t="s">
        <v>496</v>
      </c>
      <c r="C62" s="734" t="s">
        <v>14</v>
      </c>
      <c r="D62" s="676">
        <v>114</v>
      </c>
      <c r="E62" s="676">
        <v>15</v>
      </c>
      <c r="F62" s="676">
        <v>477</v>
      </c>
      <c r="G62" s="676">
        <v>388</v>
      </c>
      <c r="H62" s="676" t="s">
        <v>14</v>
      </c>
      <c r="I62" s="727">
        <v>994</v>
      </c>
    </row>
    <row r="63" spans="2:9" ht="20.100000000000001" customHeight="1">
      <c r="B63" s="363" t="s">
        <v>490</v>
      </c>
      <c r="C63" s="732" t="s">
        <v>14</v>
      </c>
      <c r="D63" s="366">
        <v>-4</v>
      </c>
      <c r="E63" s="366">
        <v>-3</v>
      </c>
      <c r="F63" s="366">
        <v>-6</v>
      </c>
      <c r="G63" s="366">
        <v>-138</v>
      </c>
      <c r="H63" s="366" t="s">
        <v>14</v>
      </c>
      <c r="I63" s="699">
        <v>-151</v>
      </c>
    </row>
    <row r="64" spans="2:9" ht="20.100000000000001" customHeight="1">
      <c r="B64" s="363" t="s">
        <v>489</v>
      </c>
      <c r="C64" s="732" t="s">
        <v>14</v>
      </c>
      <c r="D64" s="366">
        <v>32</v>
      </c>
      <c r="E64" s="366" t="s">
        <v>14</v>
      </c>
      <c r="F64" s="366" t="s">
        <v>14</v>
      </c>
      <c r="G64" s="366" t="s">
        <v>14</v>
      </c>
      <c r="H64" s="366" t="s">
        <v>14</v>
      </c>
      <c r="I64" s="699">
        <v>32</v>
      </c>
    </row>
    <row r="65" spans="2:9" ht="20.100000000000001" customHeight="1">
      <c r="B65" s="363" t="s">
        <v>488</v>
      </c>
      <c r="C65" s="732" t="s">
        <v>14</v>
      </c>
      <c r="D65" s="366">
        <v>13</v>
      </c>
      <c r="E65" s="366" t="s">
        <v>14</v>
      </c>
      <c r="F65" s="366" t="s">
        <v>14</v>
      </c>
      <c r="G65" s="366" t="s">
        <v>14</v>
      </c>
      <c r="H65" s="366" t="s">
        <v>14</v>
      </c>
      <c r="I65" s="699">
        <v>13</v>
      </c>
    </row>
    <row r="66" spans="2:9" ht="20.100000000000001" customHeight="1">
      <c r="B66" s="363" t="s">
        <v>487</v>
      </c>
      <c r="C66" s="732" t="s">
        <v>14</v>
      </c>
      <c r="D66" s="366" t="s">
        <v>14</v>
      </c>
      <c r="E66" s="366" t="s">
        <v>14</v>
      </c>
      <c r="F66" s="366" t="s">
        <v>14</v>
      </c>
      <c r="G66" s="366" t="s">
        <v>14</v>
      </c>
      <c r="H66" s="366" t="s">
        <v>14</v>
      </c>
      <c r="I66" s="699" t="s">
        <v>14</v>
      </c>
    </row>
    <row r="67" spans="2:9" ht="20.100000000000001" customHeight="1">
      <c r="B67" s="365" t="s">
        <v>486</v>
      </c>
      <c r="C67" s="731" t="s">
        <v>14</v>
      </c>
      <c r="D67" s="367">
        <v>-7</v>
      </c>
      <c r="E67" s="367" t="s">
        <v>14</v>
      </c>
      <c r="F67" s="367">
        <v>-99</v>
      </c>
      <c r="G67" s="367">
        <v>-13</v>
      </c>
      <c r="H67" s="367" t="s">
        <v>14</v>
      </c>
      <c r="I67" s="698">
        <v>-119</v>
      </c>
    </row>
    <row r="68" spans="2:9" ht="20.100000000000001" customHeight="1">
      <c r="B68" s="679" t="s">
        <v>495</v>
      </c>
      <c r="C68" s="734" t="s">
        <v>14</v>
      </c>
      <c r="D68" s="676">
        <v>148</v>
      </c>
      <c r="E68" s="676">
        <v>12</v>
      </c>
      <c r="F68" s="676">
        <v>372</v>
      </c>
      <c r="G68" s="676">
        <v>237</v>
      </c>
      <c r="H68" s="676" t="s">
        <v>14</v>
      </c>
      <c r="I68" s="727">
        <v>769</v>
      </c>
    </row>
    <row r="69" spans="2:9" ht="20.100000000000001" customHeight="1">
      <c r="B69" s="363" t="s">
        <v>490</v>
      </c>
      <c r="C69" s="732" t="s">
        <v>14</v>
      </c>
      <c r="D69" s="366">
        <v>-3</v>
      </c>
      <c r="E69" s="366">
        <v>-5</v>
      </c>
      <c r="F69" s="366">
        <v>-3</v>
      </c>
      <c r="G69" s="366">
        <v>2</v>
      </c>
      <c r="H69" s="366" t="s">
        <v>14</v>
      </c>
      <c r="I69" s="699">
        <v>-9</v>
      </c>
    </row>
    <row r="70" spans="2:9" ht="20.100000000000001" customHeight="1">
      <c r="B70" s="363" t="s">
        <v>489</v>
      </c>
      <c r="C70" s="732" t="s">
        <v>14</v>
      </c>
      <c r="D70" s="366">
        <v>81</v>
      </c>
      <c r="E70" s="366" t="s">
        <v>14</v>
      </c>
      <c r="F70" s="366">
        <v>3</v>
      </c>
      <c r="G70" s="366" t="s">
        <v>14</v>
      </c>
      <c r="H70" s="366" t="s">
        <v>14</v>
      </c>
      <c r="I70" s="699">
        <v>84</v>
      </c>
    </row>
    <row r="71" spans="2:9" ht="20.100000000000001" customHeight="1">
      <c r="B71" s="363" t="s">
        <v>488</v>
      </c>
      <c r="C71" s="732" t="s">
        <v>14</v>
      </c>
      <c r="D71" s="366">
        <v>9</v>
      </c>
      <c r="E71" s="366" t="s">
        <v>14</v>
      </c>
      <c r="F71" s="366" t="s">
        <v>14</v>
      </c>
      <c r="G71" s="366" t="s">
        <v>14</v>
      </c>
      <c r="H71" s="366" t="s">
        <v>14</v>
      </c>
      <c r="I71" s="699">
        <v>9</v>
      </c>
    </row>
    <row r="72" spans="2:9" ht="20.100000000000001" customHeight="1">
      <c r="B72" s="363" t="s">
        <v>487</v>
      </c>
      <c r="C72" s="732" t="s">
        <v>14</v>
      </c>
      <c r="D72" s="366">
        <v>-1</v>
      </c>
      <c r="E72" s="366" t="s">
        <v>14</v>
      </c>
      <c r="F72" s="366" t="s">
        <v>14</v>
      </c>
      <c r="G72" s="366" t="s">
        <v>14</v>
      </c>
      <c r="H72" s="366" t="s">
        <v>14</v>
      </c>
      <c r="I72" s="699">
        <v>-1</v>
      </c>
    </row>
    <row r="73" spans="2:9" ht="20.100000000000001" customHeight="1">
      <c r="B73" s="365" t="s">
        <v>486</v>
      </c>
      <c r="C73" s="731" t="s">
        <v>14</v>
      </c>
      <c r="D73" s="367">
        <v>-9</v>
      </c>
      <c r="E73" s="367" t="s">
        <v>14</v>
      </c>
      <c r="F73" s="367">
        <v>-51</v>
      </c>
      <c r="G73" s="367">
        <v>-13</v>
      </c>
      <c r="H73" s="367" t="s">
        <v>14</v>
      </c>
      <c r="I73" s="698">
        <v>-73</v>
      </c>
    </row>
    <row r="74" spans="2:9" ht="20.100000000000001" customHeight="1">
      <c r="B74" s="679" t="s">
        <v>494</v>
      </c>
      <c r="C74" s="734" t="s">
        <v>14</v>
      </c>
      <c r="D74" s="733">
        <v>225</v>
      </c>
      <c r="E74" s="676">
        <v>7</v>
      </c>
      <c r="F74" s="733">
        <v>321</v>
      </c>
      <c r="G74" s="676">
        <v>226</v>
      </c>
      <c r="H74" s="733" t="s">
        <v>14</v>
      </c>
      <c r="I74" s="727">
        <v>779</v>
      </c>
    </row>
    <row r="75" spans="2:9" ht="20.100000000000001" customHeight="1">
      <c r="B75" s="363" t="s">
        <v>490</v>
      </c>
      <c r="C75" s="732" t="s">
        <v>14</v>
      </c>
      <c r="D75" s="366">
        <v>34</v>
      </c>
      <c r="E75" s="366">
        <v>6</v>
      </c>
      <c r="F75" s="366">
        <v>-11</v>
      </c>
      <c r="G75" s="366">
        <v>-42</v>
      </c>
      <c r="H75" s="366" t="s">
        <v>14</v>
      </c>
      <c r="I75" s="699">
        <v>-13</v>
      </c>
    </row>
    <row r="76" spans="2:9" ht="19.5" customHeight="1">
      <c r="B76" s="363" t="s">
        <v>489</v>
      </c>
      <c r="C76" s="732" t="s">
        <v>14</v>
      </c>
      <c r="D76" s="366" t="s">
        <v>14</v>
      </c>
      <c r="E76" s="366" t="s">
        <v>14</v>
      </c>
      <c r="F76" s="366" t="s">
        <v>14</v>
      </c>
      <c r="G76" s="366" t="s">
        <v>14</v>
      </c>
      <c r="H76" s="366" t="s">
        <v>14</v>
      </c>
      <c r="I76" s="699" t="s">
        <v>14</v>
      </c>
    </row>
    <row r="77" spans="2:9" ht="20.100000000000001" customHeight="1">
      <c r="B77" s="363" t="s">
        <v>488</v>
      </c>
      <c r="C77" s="732" t="s">
        <v>14</v>
      </c>
      <c r="D77" s="366">
        <v>6</v>
      </c>
      <c r="E77" s="366" t="s">
        <v>14</v>
      </c>
      <c r="F77" s="366" t="s">
        <v>14</v>
      </c>
      <c r="G77" s="366" t="s">
        <v>14</v>
      </c>
      <c r="H77" s="366" t="s">
        <v>14</v>
      </c>
      <c r="I77" s="699">
        <v>6</v>
      </c>
    </row>
    <row r="78" spans="2:9" ht="20.100000000000001" customHeight="1">
      <c r="B78" s="363" t="s">
        <v>487</v>
      </c>
      <c r="C78" s="732" t="s">
        <v>14</v>
      </c>
      <c r="D78" s="366">
        <v>-2</v>
      </c>
      <c r="E78" s="366" t="s">
        <v>14</v>
      </c>
      <c r="F78" s="366" t="s">
        <v>14</v>
      </c>
      <c r="G78" s="366" t="s">
        <v>14</v>
      </c>
      <c r="H78" s="366" t="s">
        <v>14</v>
      </c>
      <c r="I78" s="699">
        <v>-2</v>
      </c>
    </row>
    <row r="79" spans="2:9" ht="20.100000000000001" customHeight="1">
      <c r="B79" s="365" t="s">
        <v>486</v>
      </c>
      <c r="C79" s="731" t="s">
        <v>14</v>
      </c>
      <c r="D79" s="367">
        <v>-17</v>
      </c>
      <c r="E79" s="367" t="s">
        <v>14</v>
      </c>
      <c r="F79" s="367">
        <v>-50</v>
      </c>
      <c r="G79" s="367">
        <v>-14</v>
      </c>
      <c r="H79" s="367" t="s">
        <v>14</v>
      </c>
      <c r="I79" s="698">
        <v>-81</v>
      </c>
    </row>
    <row r="80" spans="2:9" ht="20.100000000000001" customHeight="1">
      <c r="B80" s="679" t="s">
        <v>492</v>
      </c>
      <c r="C80" s="734" t="s">
        <v>14</v>
      </c>
      <c r="D80" s="733">
        <v>246</v>
      </c>
      <c r="E80" s="676">
        <v>13</v>
      </c>
      <c r="F80" s="733">
        <v>260</v>
      </c>
      <c r="G80" s="676">
        <v>170</v>
      </c>
      <c r="H80" s="733" t="s">
        <v>14</v>
      </c>
      <c r="I80" s="727">
        <v>689</v>
      </c>
    </row>
    <row r="81" spans="2:9" ht="20.100000000000001" customHeight="1">
      <c r="B81" s="363" t="s">
        <v>490</v>
      </c>
      <c r="C81" s="732" t="s">
        <v>14</v>
      </c>
      <c r="D81" s="366">
        <v>42</v>
      </c>
      <c r="E81" s="366" t="s">
        <v>14</v>
      </c>
      <c r="F81" s="366">
        <v>58</v>
      </c>
      <c r="G81" s="366">
        <v>-1</v>
      </c>
      <c r="H81" s="366" t="s">
        <v>14</v>
      </c>
      <c r="I81" s="699">
        <v>99</v>
      </c>
    </row>
    <row r="82" spans="2:9" ht="20.100000000000001" customHeight="1">
      <c r="B82" s="363" t="s">
        <v>489</v>
      </c>
      <c r="C82" s="732" t="s">
        <v>14</v>
      </c>
      <c r="D82" s="366">
        <v>15</v>
      </c>
      <c r="E82" s="366" t="s">
        <v>14</v>
      </c>
      <c r="F82" s="366" t="s">
        <v>14</v>
      </c>
      <c r="G82" s="366" t="s">
        <v>14</v>
      </c>
      <c r="H82" s="366" t="s">
        <v>14</v>
      </c>
      <c r="I82" s="699">
        <v>15</v>
      </c>
    </row>
    <row r="83" spans="2:9" ht="20.100000000000001" customHeight="1">
      <c r="B83" s="363" t="s">
        <v>488</v>
      </c>
      <c r="C83" s="732" t="s">
        <v>14</v>
      </c>
      <c r="D83" s="366" t="s">
        <v>14</v>
      </c>
      <c r="E83" s="366" t="s">
        <v>14</v>
      </c>
      <c r="F83" s="366">
        <v>167</v>
      </c>
      <c r="G83" s="366" t="s">
        <v>14</v>
      </c>
      <c r="H83" s="366" t="s">
        <v>14</v>
      </c>
      <c r="I83" s="699">
        <v>167</v>
      </c>
    </row>
    <row r="84" spans="2:9" ht="20.100000000000001" customHeight="1">
      <c r="B84" s="363" t="s">
        <v>487</v>
      </c>
      <c r="C84" s="732" t="s">
        <v>14</v>
      </c>
      <c r="D84" s="366">
        <v>-2</v>
      </c>
      <c r="E84" s="366" t="s">
        <v>14</v>
      </c>
      <c r="F84" s="366" t="s">
        <v>14</v>
      </c>
      <c r="G84" s="366" t="s">
        <v>14</v>
      </c>
      <c r="H84" s="366" t="s">
        <v>14</v>
      </c>
      <c r="I84" s="699">
        <v>-2</v>
      </c>
    </row>
    <row r="85" spans="2:9" ht="20.100000000000001" customHeight="1">
      <c r="B85" s="365" t="s">
        <v>486</v>
      </c>
      <c r="C85" s="731" t="s">
        <v>14</v>
      </c>
      <c r="D85" s="367">
        <v>-25</v>
      </c>
      <c r="E85" s="367" t="s">
        <v>14</v>
      </c>
      <c r="F85" s="367">
        <v>-53</v>
      </c>
      <c r="G85" s="367">
        <v>-12</v>
      </c>
      <c r="H85" s="367" t="s">
        <v>14</v>
      </c>
      <c r="I85" s="698">
        <v>-90</v>
      </c>
    </row>
    <row r="86" spans="2:9" ht="20.100000000000001" customHeight="1">
      <c r="B86" s="679" t="s">
        <v>491</v>
      </c>
      <c r="C86" s="734" t="s">
        <v>14</v>
      </c>
      <c r="D86" s="733">
        <v>276</v>
      </c>
      <c r="E86" s="676">
        <v>13</v>
      </c>
      <c r="F86" s="733">
        <v>432</v>
      </c>
      <c r="G86" s="676">
        <v>157</v>
      </c>
      <c r="H86" s="733" t="s">
        <v>14</v>
      </c>
      <c r="I86" s="727">
        <v>878</v>
      </c>
    </row>
    <row r="87" spans="2:9" ht="20.100000000000001" customHeight="1">
      <c r="B87" s="363" t="s">
        <v>490</v>
      </c>
      <c r="C87" s="732" t="s">
        <v>468</v>
      </c>
      <c r="D87" s="366">
        <v>16</v>
      </c>
      <c r="E87" s="366" t="s">
        <v>468</v>
      </c>
      <c r="F87" s="366">
        <v>44</v>
      </c>
      <c r="G87" s="366">
        <v>-6</v>
      </c>
      <c r="H87" s="366" t="s">
        <v>468</v>
      </c>
      <c r="I87" s="699">
        <v>54</v>
      </c>
    </row>
    <row r="88" spans="2:9" ht="20.100000000000001" customHeight="1">
      <c r="B88" s="363" t="s">
        <v>489</v>
      </c>
      <c r="C88" s="732" t="s">
        <v>468</v>
      </c>
      <c r="D88" s="366">
        <v>12</v>
      </c>
      <c r="E88" s="366" t="s">
        <v>468</v>
      </c>
      <c r="F88" s="366" t="s">
        <v>468</v>
      </c>
      <c r="G88" s="366" t="s">
        <v>468</v>
      </c>
      <c r="H88" s="366" t="s">
        <v>468</v>
      </c>
      <c r="I88" s="699">
        <v>12</v>
      </c>
    </row>
    <row r="89" spans="2:9" ht="20.100000000000001" customHeight="1">
      <c r="B89" s="363" t="s">
        <v>488</v>
      </c>
      <c r="C89" s="732" t="s">
        <v>468</v>
      </c>
      <c r="D89" s="366">
        <v>4</v>
      </c>
      <c r="E89" s="366" t="s">
        <v>468</v>
      </c>
      <c r="F89" s="366" t="s">
        <v>468</v>
      </c>
      <c r="G89" s="366" t="s">
        <v>468</v>
      </c>
      <c r="H89" s="366" t="s">
        <v>468</v>
      </c>
      <c r="I89" s="699">
        <v>4</v>
      </c>
    </row>
    <row r="90" spans="2:9" ht="20.100000000000001" customHeight="1">
      <c r="B90" s="363" t="s">
        <v>487</v>
      </c>
      <c r="C90" s="732" t="s">
        <v>468</v>
      </c>
      <c r="D90" s="366" t="s">
        <v>468</v>
      </c>
      <c r="E90" s="366" t="s">
        <v>468</v>
      </c>
      <c r="F90" s="366" t="s">
        <v>468</v>
      </c>
      <c r="G90" s="366" t="s">
        <v>468</v>
      </c>
      <c r="H90" s="366" t="s">
        <v>468</v>
      </c>
      <c r="I90" s="699" t="s">
        <v>14</v>
      </c>
    </row>
    <row r="91" spans="2:9" ht="20.100000000000001" customHeight="1">
      <c r="B91" s="365" t="s">
        <v>486</v>
      </c>
      <c r="C91" s="731" t="s">
        <v>468</v>
      </c>
      <c r="D91" s="367">
        <v>-24</v>
      </c>
      <c r="E91" s="367">
        <v>-2</v>
      </c>
      <c r="F91" s="367">
        <v>-66</v>
      </c>
      <c r="G91" s="367">
        <v>-11</v>
      </c>
      <c r="H91" s="367" t="s">
        <v>468</v>
      </c>
      <c r="I91" s="698">
        <v>-103</v>
      </c>
    </row>
    <row r="92" spans="2:9" ht="20.100000000000001" customHeight="1">
      <c r="B92" s="647" t="s">
        <v>485</v>
      </c>
      <c r="C92" s="730" t="s">
        <v>468</v>
      </c>
      <c r="D92" s="585">
        <v>284</v>
      </c>
      <c r="E92" s="585">
        <v>11</v>
      </c>
      <c r="F92" s="585">
        <v>410</v>
      </c>
      <c r="G92" s="585">
        <v>140</v>
      </c>
      <c r="H92" s="585" t="s">
        <v>468</v>
      </c>
      <c r="I92" s="697">
        <v>845</v>
      </c>
    </row>
    <row r="94" spans="2:9" ht="20.100000000000001" customHeight="1">
      <c r="B94" s="365" t="s">
        <v>526</v>
      </c>
      <c r="C94" s="1192" t="s">
        <v>525</v>
      </c>
      <c r="D94" s="1192"/>
      <c r="E94" s="1192"/>
      <c r="F94" s="1192"/>
      <c r="G94" s="1192"/>
      <c r="H94" s="1192"/>
      <c r="I94" s="1192"/>
    </row>
    <row r="95" spans="2:9" ht="52.5" customHeight="1">
      <c r="B95" s="695" t="s">
        <v>473</v>
      </c>
      <c r="C95" s="694" t="s">
        <v>482</v>
      </c>
      <c r="D95" s="693" t="s">
        <v>421</v>
      </c>
      <c r="E95" s="694" t="s">
        <v>481</v>
      </c>
      <c r="F95" s="694" t="s">
        <v>480</v>
      </c>
      <c r="G95" s="694" t="s">
        <v>443</v>
      </c>
      <c r="H95" s="693" t="s">
        <v>434</v>
      </c>
      <c r="I95" s="693" t="s">
        <v>36</v>
      </c>
    </row>
    <row r="96" spans="2:9" ht="20.100000000000001" customHeight="1">
      <c r="B96" s="729" t="s">
        <v>479</v>
      </c>
      <c r="C96" s="728"/>
      <c r="D96" s="728"/>
      <c r="E96" s="728"/>
      <c r="F96" s="728"/>
      <c r="G96" s="728"/>
      <c r="H96" s="728"/>
      <c r="I96" s="728"/>
    </row>
    <row r="97" spans="2:12" ht="20.100000000000001" customHeight="1">
      <c r="B97" s="679" t="s">
        <v>473</v>
      </c>
      <c r="C97" s="687">
        <v>1214</v>
      </c>
      <c r="D97" s="676">
        <v>141</v>
      </c>
      <c r="E97" s="676">
        <v>1881</v>
      </c>
      <c r="F97" s="676">
        <v>851</v>
      </c>
      <c r="G97" s="676">
        <v>465</v>
      </c>
      <c r="H97" s="676">
        <v>95</v>
      </c>
      <c r="I97" s="727">
        <v>4647</v>
      </c>
    </row>
    <row r="98" spans="2:12" ht="20.100000000000001" customHeight="1">
      <c r="B98" s="722" t="s">
        <v>470</v>
      </c>
      <c r="C98" s="661">
        <v>1214</v>
      </c>
      <c r="D98" s="366">
        <v>27</v>
      </c>
      <c r="E98" s="366">
        <v>1866</v>
      </c>
      <c r="F98" s="366">
        <v>374</v>
      </c>
      <c r="G98" s="366">
        <v>77</v>
      </c>
      <c r="H98" s="366">
        <v>95</v>
      </c>
      <c r="I98" s="699">
        <v>3653</v>
      </c>
    </row>
    <row r="99" spans="2:12" ht="20.100000000000001" customHeight="1">
      <c r="B99" s="151" t="s">
        <v>469</v>
      </c>
      <c r="C99" s="664" t="s">
        <v>14</v>
      </c>
      <c r="D99" s="367">
        <v>114</v>
      </c>
      <c r="E99" s="367">
        <v>15</v>
      </c>
      <c r="F99" s="367">
        <v>477</v>
      </c>
      <c r="G99" s="367">
        <v>388</v>
      </c>
      <c r="H99" s="367" t="s">
        <v>14</v>
      </c>
      <c r="I99" s="698">
        <v>994</v>
      </c>
    </row>
    <row r="100" spans="2:12" ht="20.100000000000001" customHeight="1">
      <c r="B100" s="679" t="s">
        <v>472</v>
      </c>
      <c r="C100" s="687">
        <v>300</v>
      </c>
      <c r="D100" s="676">
        <v>76</v>
      </c>
      <c r="E100" s="676">
        <v>997</v>
      </c>
      <c r="F100" s="676">
        <v>655</v>
      </c>
      <c r="G100" s="676">
        <v>179</v>
      </c>
      <c r="H100" s="676">
        <v>22</v>
      </c>
      <c r="I100" s="727">
        <v>2229</v>
      </c>
    </row>
    <row r="101" spans="2:12" ht="20.100000000000001" customHeight="1">
      <c r="B101" s="722" t="s">
        <v>470</v>
      </c>
      <c r="C101" s="661">
        <v>300</v>
      </c>
      <c r="D101" s="366">
        <v>21</v>
      </c>
      <c r="E101" s="366">
        <v>991</v>
      </c>
      <c r="F101" s="366">
        <v>282</v>
      </c>
      <c r="G101" s="366">
        <v>44</v>
      </c>
      <c r="H101" s="366">
        <v>22</v>
      </c>
      <c r="I101" s="699">
        <v>1660</v>
      </c>
    </row>
    <row r="102" spans="2:12" ht="20.100000000000001" customHeight="1">
      <c r="B102" s="151" t="s">
        <v>469</v>
      </c>
      <c r="C102" s="664" t="s">
        <v>14</v>
      </c>
      <c r="D102" s="367">
        <v>55</v>
      </c>
      <c r="E102" s="367">
        <v>6</v>
      </c>
      <c r="F102" s="367">
        <v>373</v>
      </c>
      <c r="G102" s="367">
        <v>135</v>
      </c>
      <c r="H102" s="367" t="s">
        <v>14</v>
      </c>
      <c r="I102" s="698">
        <v>569</v>
      </c>
    </row>
    <row r="103" spans="2:12" ht="20.100000000000001" customHeight="1">
      <c r="B103" s="679" t="s">
        <v>471</v>
      </c>
      <c r="C103" s="687">
        <v>914</v>
      </c>
      <c r="D103" s="676">
        <v>65</v>
      </c>
      <c r="E103" s="676">
        <v>884</v>
      </c>
      <c r="F103" s="676">
        <v>196</v>
      </c>
      <c r="G103" s="676">
        <v>286</v>
      </c>
      <c r="H103" s="676">
        <v>73</v>
      </c>
      <c r="I103" s="727">
        <v>2418</v>
      </c>
    </row>
    <row r="104" spans="2:12" ht="20.100000000000001" customHeight="1">
      <c r="B104" s="722" t="s">
        <v>470</v>
      </c>
      <c r="C104" s="661">
        <v>914</v>
      </c>
      <c r="D104" s="366">
        <v>6</v>
      </c>
      <c r="E104" s="366">
        <v>875</v>
      </c>
      <c r="F104" s="366">
        <v>92</v>
      </c>
      <c r="G104" s="366">
        <v>33</v>
      </c>
      <c r="H104" s="366">
        <v>73</v>
      </c>
      <c r="I104" s="699">
        <v>1993</v>
      </c>
    </row>
    <row r="105" spans="2:12" ht="20.100000000000001" customHeight="1">
      <c r="B105" s="721" t="s">
        <v>469</v>
      </c>
      <c r="C105" s="658" t="s">
        <v>14</v>
      </c>
      <c r="D105" s="657">
        <v>59</v>
      </c>
      <c r="E105" s="657">
        <v>9</v>
      </c>
      <c r="F105" s="657">
        <v>104</v>
      </c>
      <c r="G105" s="657">
        <v>253</v>
      </c>
      <c r="H105" s="657" t="s">
        <v>14</v>
      </c>
      <c r="I105" s="720">
        <v>425</v>
      </c>
    </row>
    <row r="106" spans="2:12" ht="20.100000000000001" customHeight="1">
      <c r="B106" s="637" t="s">
        <v>478</v>
      </c>
      <c r="C106" s="637"/>
      <c r="D106" s="637"/>
      <c r="E106" s="637"/>
      <c r="F106" s="637"/>
      <c r="G106" s="637"/>
      <c r="H106" s="637"/>
      <c r="I106" s="637"/>
    </row>
    <row r="107" spans="2:12" ht="20.100000000000001" customHeight="1">
      <c r="B107" s="673" t="s">
        <v>473</v>
      </c>
      <c r="C107" s="671">
        <v>1131</v>
      </c>
      <c r="D107" s="671">
        <v>173</v>
      </c>
      <c r="E107" s="671">
        <v>1770</v>
      </c>
      <c r="F107" s="671">
        <v>717</v>
      </c>
      <c r="G107" s="671">
        <v>323</v>
      </c>
      <c r="H107" s="671">
        <v>211</v>
      </c>
      <c r="I107" s="671">
        <v>4325</v>
      </c>
    </row>
    <row r="108" spans="2:12" ht="20.100000000000001" customHeight="1">
      <c r="B108" s="722" t="s">
        <v>470</v>
      </c>
      <c r="C108" s="661">
        <v>1131</v>
      </c>
      <c r="D108" s="366">
        <v>25</v>
      </c>
      <c r="E108" s="366">
        <v>1758</v>
      </c>
      <c r="F108" s="366">
        <v>345</v>
      </c>
      <c r="G108" s="366">
        <v>86</v>
      </c>
      <c r="H108" s="366">
        <v>211</v>
      </c>
      <c r="I108" s="699">
        <v>3556</v>
      </c>
    </row>
    <row r="109" spans="2:12" ht="20.100000000000001" customHeight="1">
      <c r="B109" s="726" t="s">
        <v>469</v>
      </c>
      <c r="C109" s="712" t="s">
        <v>14</v>
      </c>
      <c r="D109" s="329">
        <v>148</v>
      </c>
      <c r="E109" s="329">
        <v>12</v>
      </c>
      <c r="F109" s="329">
        <v>372</v>
      </c>
      <c r="G109" s="329">
        <v>237</v>
      </c>
      <c r="H109" s="329" t="s">
        <v>14</v>
      </c>
      <c r="I109" s="705">
        <v>769</v>
      </c>
    </row>
    <row r="110" spans="2:12" ht="20.100000000000001" customHeight="1">
      <c r="B110" s="673" t="s">
        <v>472</v>
      </c>
      <c r="C110" s="671">
        <v>470</v>
      </c>
      <c r="D110" s="671">
        <v>88</v>
      </c>
      <c r="E110" s="671">
        <v>933</v>
      </c>
      <c r="F110" s="671">
        <v>553</v>
      </c>
      <c r="G110" s="671">
        <v>128</v>
      </c>
      <c r="H110" s="671">
        <v>21</v>
      </c>
      <c r="I110" s="671">
        <v>2193</v>
      </c>
    </row>
    <row r="111" spans="2:12" ht="20.100000000000001" customHeight="1">
      <c r="B111" s="722" t="s">
        <v>470</v>
      </c>
      <c r="C111" s="661">
        <v>470</v>
      </c>
      <c r="D111" s="366">
        <v>19</v>
      </c>
      <c r="E111" s="366">
        <v>929</v>
      </c>
      <c r="F111" s="366">
        <v>253</v>
      </c>
      <c r="G111" s="366">
        <v>45</v>
      </c>
      <c r="H111" s="366">
        <v>21</v>
      </c>
      <c r="I111" s="699">
        <v>1737</v>
      </c>
    </row>
    <row r="112" spans="2:12" ht="20.100000000000001" customHeight="1">
      <c r="B112" s="726" t="s">
        <v>469</v>
      </c>
      <c r="C112" s="712" t="s">
        <v>14</v>
      </c>
      <c r="D112" s="329">
        <v>69</v>
      </c>
      <c r="E112" s="329">
        <v>4</v>
      </c>
      <c r="F112" s="329">
        <v>300</v>
      </c>
      <c r="G112" s="329">
        <v>83</v>
      </c>
      <c r="H112" s="329" t="s">
        <v>14</v>
      </c>
      <c r="I112" s="705">
        <v>456</v>
      </c>
      <c r="L112" s="468" t="s">
        <v>19</v>
      </c>
    </row>
    <row r="113" spans="2:9" ht="20.100000000000001" customHeight="1">
      <c r="B113" s="673" t="s">
        <v>471</v>
      </c>
      <c r="C113" s="671">
        <v>661</v>
      </c>
      <c r="D113" s="671">
        <v>85</v>
      </c>
      <c r="E113" s="671">
        <v>837</v>
      </c>
      <c r="F113" s="671">
        <v>164</v>
      </c>
      <c r="G113" s="671">
        <v>195</v>
      </c>
      <c r="H113" s="671">
        <v>190</v>
      </c>
      <c r="I113" s="671">
        <v>2132</v>
      </c>
    </row>
    <row r="114" spans="2:9" ht="20.100000000000001" customHeight="1">
      <c r="B114" s="722" t="s">
        <v>470</v>
      </c>
      <c r="C114" s="661">
        <v>661</v>
      </c>
      <c r="D114" s="366">
        <v>6</v>
      </c>
      <c r="E114" s="366">
        <v>829</v>
      </c>
      <c r="F114" s="366">
        <v>92</v>
      </c>
      <c r="G114" s="366">
        <v>41</v>
      </c>
      <c r="H114" s="366">
        <v>190</v>
      </c>
      <c r="I114" s="699">
        <v>1819</v>
      </c>
    </row>
    <row r="115" spans="2:9" ht="20.100000000000001" customHeight="1">
      <c r="B115" s="721" t="s">
        <v>469</v>
      </c>
      <c r="C115" s="658" t="s">
        <v>14</v>
      </c>
      <c r="D115" s="657">
        <v>79</v>
      </c>
      <c r="E115" s="657">
        <v>8</v>
      </c>
      <c r="F115" s="657">
        <v>72</v>
      </c>
      <c r="G115" s="657">
        <v>154</v>
      </c>
      <c r="H115" s="657" t="s">
        <v>14</v>
      </c>
      <c r="I115" s="720">
        <v>313</v>
      </c>
    </row>
    <row r="116" spans="2:9" ht="20.100000000000001" customHeight="1">
      <c r="B116" s="637" t="s">
        <v>477</v>
      </c>
      <c r="C116" s="637"/>
      <c r="D116" s="637"/>
      <c r="E116" s="637"/>
      <c r="F116" s="637"/>
      <c r="G116" s="637"/>
      <c r="H116" s="637"/>
      <c r="I116" s="637"/>
    </row>
    <row r="117" spans="2:9" ht="20.100000000000001" customHeight="1">
      <c r="B117" s="673" t="s">
        <v>473</v>
      </c>
      <c r="C117" s="671">
        <v>1043</v>
      </c>
      <c r="D117" s="671">
        <v>251</v>
      </c>
      <c r="E117" s="671">
        <v>1695</v>
      </c>
      <c r="F117" s="671">
        <v>648</v>
      </c>
      <c r="G117" s="671">
        <v>314</v>
      </c>
      <c r="H117" s="671">
        <v>207</v>
      </c>
      <c r="I117" s="671">
        <v>4158</v>
      </c>
    </row>
    <row r="118" spans="2:9" ht="20.100000000000001" customHeight="1">
      <c r="B118" s="722" t="s">
        <v>470</v>
      </c>
      <c r="C118" s="661">
        <v>1043</v>
      </c>
      <c r="D118" s="366">
        <v>26</v>
      </c>
      <c r="E118" s="366">
        <v>1688</v>
      </c>
      <c r="F118" s="366">
        <v>327</v>
      </c>
      <c r="G118" s="366">
        <v>88</v>
      </c>
      <c r="H118" s="366">
        <v>207</v>
      </c>
      <c r="I118" s="699">
        <v>3379</v>
      </c>
    </row>
    <row r="119" spans="2:9" ht="20.100000000000001" customHeight="1">
      <c r="B119" s="726" t="s">
        <v>469</v>
      </c>
      <c r="C119" s="712" t="s">
        <v>14</v>
      </c>
      <c r="D119" s="329">
        <v>225</v>
      </c>
      <c r="E119" s="329">
        <v>7</v>
      </c>
      <c r="F119" s="329">
        <v>321</v>
      </c>
      <c r="G119" s="329">
        <v>226</v>
      </c>
      <c r="H119" s="329" t="s">
        <v>14</v>
      </c>
      <c r="I119" s="705">
        <v>779</v>
      </c>
    </row>
    <row r="120" spans="2:9" ht="20.100000000000001" customHeight="1">
      <c r="B120" s="673" t="s">
        <v>472</v>
      </c>
      <c r="C120" s="671">
        <v>446</v>
      </c>
      <c r="D120" s="671">
        <v>136</v>
      </c>
      <c r="E120" s="671">
        <v>934</v>
      </c>
      <c r="F120" s="671">
        <v>512</v>
      </c>
      <c r="G120" s="671">
        <v>136</v>
      </c>
      <c r="H120" s="671">
        <v>17</v>
      </c>
      <c r="I120" s="671">
        <v>2181</v>
      </c>
    </row>
    <row r="121" spans="2:9" ht="20.100000000000001" customHeight="1">
      <c r="B121" s="722" t="s">
        <v>470</v>
      </c>
      <c r="C121" s="661">
        <v>446</v>
      </c>
      <c r="D121" s="366">
        <v>16</v>
      </c>
      <c r="E121" s="366">
        <v>930</v>
      </c>
      <c r="F121" s="366">
        <v>252</v>
      </c>
      <c r="G121" s="366">
        <v>54</v>
      </c>
      <c r="H121" s="366">
        <v>17</v>
      </c>
      <c r="I121" s="699">
        <v>1715</v>
      </c>
    </row>
    <row r="122" spans="2:9" ht="20.100000000000001" customHeight="1">
      <c r="B122" s="726" t="s">
        <v>469</v>
      </c>
      <c r="C122" s="712" t="s">
        <v>14</v>
      </c>
      <c r="D122" s="329">
        <v>120</v>
      </c>
      <c r="E122" s="329">
        <v>4</v>
      </c>
      <c r="F122" s="329">
        <v>260</v>
      </c>
      <c r="G122" s="329">
        <v>82</v>
      </c>
      <c r="H122" s="329" t="s">
        <v>14</v>
      </c>
      <c r="I122" s="705">
        <v>466</v>
      </c>
    </row>
    <row r="123" spans="2:9" ht="20.100000000000001" customHeight="1">
      <c r="B123" s="673" t="s">
        <v>471</v>
      </c>
      <c r="C123" s="671">
        <v>597</v>
      </c>
      <c r="D123" s="671">
        <v>115</v>
      </c>
      <c r="E123" s="671">
        <v>761</v>
      </c>
      <c r="F123" s="671">
        <v>136</v>
      </c>
      <c r="G123" s="671">
        <v>178</v>
      </c>
      <c r="H123" s="671">
        <v>190</v>
      </c>
      <c r="I123" s="671">
        <v>1977</v>
      </c>
    </row>
    <row r="124" spans="2:9" ht="20.100000000000001" customHeight="1">
      <c r="B124" s="722" t="s">
        <v>470</v>
      </c>
      <c r="C124" s="661">
        <v>597</v>
      </c>
      <c r="D124" s="366">
        <v>10</v>
      </c>
      <c r="E124" s="366">
        <v>758</v>
      </c>
      <c r="F124" s="366">
        <v>75</v>
      </c>
      <c r="G124" s="366">
        <v>34</v>
      </c>
      <c r="H124" s="366">
        <v>190</v>
      </c>
      <c r="I124" s="699">
        <v>1664</v>
      </c>
    </row>
    <row r="125" spans="2:9" ht="20.100000000000001" customHeight="1">
      <c r="B125" s="721" t="s">
        <v>469</v>
      </c>
      <c r="C125" s="658" t="s">
        <v>14</v>
      </c>
      <c r="D125" s="657">
        <v>105</v>
      </c>
      <c r="E125" s="657">
        <v>3</v>
      </c>
      <c r="F125" s="657">
        <v>61</v>
      </c>
      <c r="G125" s="657">
        <v>144</v>
      </c>
      <c r="H125" s="657" t="s">
        <v>14</v>
      </c>
      <c r="I125" s="720">
        <v>313</v>
      </c>
    </row>
    <row r="126" spans="2:9" ht="20.100000000000001" customHeight="1">
      <c r="B126" s="637" t="s">
        <v>476</v>
      </c>
      <c r="C126" s="637"/>
      <c r="D126" s="637"/>
      <c r="E126" s="637"/>
      <c r="F126" s="637"/>
      <c r="G126" s="637"/>
      <c r="H126" s="637"/>
      <c r="I126" s="637"/>
    </row>
    <row r="127" spans="2:9" ht="20.100000000000001" customHeight="1">
      <c r="B127" s="673" t="s">
        <v>473</v>
      </c>
      <c r="C127" s="671">
        <v>976</v>
      </c>
      <c r="D127" s="671">
        <v>269</v>
      </c>
      <c r="E127" s="671">
        <v>1463</v>
      </c>
      <c r="F127" s="671">
        <v>1311</v>
      </c>
      <c r="G127" s="671">
        <v>271</v>
      </c>
      <c r="H127" s="671">
        <v>205</v>
      </c>
      <c r="I127" s="671">
        <v>4495</v>
      </c>
    </row>
    <row r="128" spans="2:9" ht="20.100000000000001" customHeight="1">
      <c r="B128" s="722" t="s">
        <v>470</v>
      </c>
      <c r="C128" s="661">
        <v>976</v>
      </c>
      <c r="D128" s="366">
        <v>23</v>
      </c>
      <c r="E128" s="366">
        <v>1.45</v>
      </c>
      <c r="F128" s="366">
        <v>1.0509999999999999</v>
      </c>
      <c r="G128" s="366">
        <v>101</v>
      </c>
      <c r="H128" s="366">
        <v>205</v>
      </c>
      <c r="I128" s="699">
        <v>3806</v>
      </c>
    </row>
    <row r="129" spans="2:9" ht="20.100000000000001" customHeight="1">
      <c r="B129" s="726" t="s">
        <v>469</v>
      </c>
      <c r="C129" s="712" t="s">
        <v>14</v>
      </c>
      <c r="D129" s="329">
        <v>246</v>
      </c>
      <c r="E129" s="329">
        <v>13</v>
      </c>
      <c r="F129" s="329">
        <v>260</v>
      </c>
      <c r="G129" s="329">
        <v>170</v>
      </c>
      <c r="H129" s="329" t="s">
        <v>14</v>
      </c>
      <c r="I129" s="705">
        <v>689</v>
      </c>
    </row>
    <row r="130" spans="2:9" ht="20.100000000000001" customHeight="1">
      <c r="B130" s="673" t="s">
        <v>472</v>
      </c>
      <c r="C130" s="671">
        <v>445</v>
      </c>
      <c r="D130" s="671">
        <v>151</v>
      </c>
      <c r="E130" s="671">
        <v>836</v>
      </c>
      <c r="F130" s="671">
        <v>1061</v>
      </c>
      <c r="G130" s="671">
        <v>145</v>
      </c>
      <c r="H130" s="671">
        <v>17</v>
      </c>
      <c r="I130" s="671">
        <v>2655</v>
      </c>
    </row>
    <row r="131" spans="2:9" ht="20.100000000000001" customHeight="1">
      <c r="B131" s="722" t="s">
        <v>470</v>
      </c>
      <c r="C131" s="661">
        <v>445</v>
      </c>
      <c r="D131" s="366">
        <v>15</v>
      </c>
      <c r="E131" s="366">
        <v>833</v>
      </c>
      <c r="F131" s="366">
        <v>846</v>
      </c>
      <c r="G131" s="366">
        <v>71</v>
      </c>
      <c r="H131" s="366">
        <v>17</v>
      </c>
      <c r="I131" s="699">
        <v>2227</v>
      </c>
    </row>
    <row r="132" spans="2:9" ht="20.100000000000001" customHeight="1">
      <c r="B132" s="726" t="s">
        <v>469</v>
      </c>
      <c r="C132" s="712" t="s">
        <v>14</v>
      </c>
      <c r="D132" s="329">
        <v>136</v>
      </c>
      <c r="E132" s="329">
        <v>3</v>
      </c>
      <c r="F132" s="329">
        <v>215</v>
      </c>
      <c r="G132" s="329">
        <v>74</v>
      </c>
      <c r="H132" s="329" t="s">
        <v>14</v>
      </c>
      <c r="I132" s="705">
        <v>428</v>
      </c>
    </row>
    <row r="133" spans="2:9" ht="20.100000000000001" customHeight="1">
      <c r="B133" s="673" t="s">
        <v>471</v>
      </c>
      <c r="C133" s="671">
        <v>531</v>
      </c>
      <c r="D133" s="671">
        <v>118</v>
      </c>
      <c r="E133" s="671">
        <v>627</v>
      </c>
      <c r="F133" s="671">
        <v>250</v>
      </c>
      <c r="G133" s="671">
        <v>126</v>
      </c>
      <c r="H133" s="671">
        <v>188</v>
      </c>
      <c r="I133" s="671">
        <v>1.84</v>
      </c>
    </row>
    <row r="134" spans="2:9" ht="20.100000000000001" customHeight="1">
      <c r="B134" s="722" t="s">
        <v>470</v>
      </c>
      <c r="C134" s="661">
        <v>531</v>
      </c>
      <c r="D134" s="366">
        <v>8</v>
      </c>
      <c r="E134" s="366">
        <v>617</v>
      </c>
      <c r="F134" s="366">
        <v>205</v>
      </c>
      <c r="G134" s="366">
        <v>30</v>
      </c>
      <c r="H134" s="366">
        <v>188</v>
      </c>
      <c r="I134" s="699">
        <v>1.579</v>
      </c>
    </row>
    <row r="135" spans="2:9" ht="20.100000000000001" customHeight="1">
      <c r="B135" s="721" t="s">
        <v>469</v>
      </c>
      <c r="C135" s="658" t="s">
        <v>14</v>
      </c>
      <c r="D135" s="657">
        <v>110</v>
      </c>
      <c r="E135" s="657">
        <v>10</v>
      </c>
      <c r="F135" s="657">
        <v>45</v>
      </c>
      <c r="G135" s="657">
        <v>96</v>
      </c>
      <c r="H135" s="657" t="s">
        <v>14</v>
      </c>
      <c r="I135" s="720">
        <v>261</v>
      </c>
    </row>
    <row r="136" spans="2:9" ht="20.100000000000001" customHeight="1">
      <c r="B136" s="637" t="s">
        <v>475</v>
      </c>
      <c r="C136" s="637"/>
      <c r="D136" s="637"/>
      <c r="E136" s="637"/>
      <c r="F136" s="637"/>
      <c r="G136" s="637"/>
      <c r="H136" s="637"/>
      <c r="I136" s="637"/>
    </row>
    <row r="137" spans="2:9" ht="20.100000000000001" customHeight="1">
      <c r="B137" s="673" t="s">
        <v>473</v>
      </c>
      <c r="C137" s="671">
        <v>936</v>
      </c>
      <c r="D137" s="671">
        <v>286</v>
      </c>
      <c r="E137" s="671">
        <v>1295</v>
      </c>
      <c r="F137" s="671">
        <v>1642</v>
      </c>
      <c r="G137" s="671">
        <v>242</v>
      </c>
      <c r="H137" s="671">
        <v>200</v>
      </c>
      <c r="I137" s="671">
        <v>4601</v>
      </c>
    </row>
    <row r="138" spans="2:9" ht="20.100000000000001" customHeight="1">
      <c r="B138" s="722" t="s">
        <v>470</v>
      </c>
      <c r="C138" s="661">
        <v>936</v>
      </c>
      <c r="D138" s="366">
        <v>10</v>
      </c>
      <c r="E138" s="366">
        <v>1282</v>
      </c>
      <c r="F138" s="366">
        <v>1210</v>
      </c>
      <c r="G138" s="366">
        <v>85</v>
      </c>
      <c r="H138" s="366">
        <v>200</v>
      </c>
      <c r="I138" s="699">
        <v>3723</v>
      </c>
    </row>
    <row r="139" spans="2:9" ht="20.100000000000001" customHeight="1">
      <c r="B139" s="151" t="s">
        <v>469</v>
      </c>
      <c r="C139" s="664" t="s">
        <v>14</v>
      </c>
      <c r="D139" s="367">
        <v>276</v>
      </c>
      <c r="E139" s="367">
        <v>13</v>
      </c>
      <c r="F139" s="367">
        <v>432</v>
      </c>
      <c r="G139" s="367">
        <v>157</v>
      </c>
      <c r="H139" s="367" t="s">
        <v>14</v>
      </c>
      <c r="I139" s="698">
        <v>878</v>
      </c>
    </row>
    <row r="140" spans="2:9" ht="20.100000000000001" customHeight="1">
      <c r="B140" s="673" t="s">
        <v>472</v>
      </c>
      <c r="C140" s="671">
        <v>476</v>
      </c>
      <c r="D140" s="671">
        <v>152</v>
      </c>
      <c r="E140" s="671">
        <v>819</v>
      </c>
      <c r="F140" s="671">
        <v>1309</v>
      </c>
      <c r="G140" s="671">
        <v>151</v>
      </c>
      <c r="H140" s="671">
        <v>14</v>
      </c>
      <c r="I140" s="671">
        <v>2921</v>
      </c>
    </row>
    <row r="141" spans="2:9" ht="20.100000000000001" customHeight="1">
      <c r="B141" s="722" t="s">
        <v>470</v>
      </c>
      <c r="C141" s="661">
        <v>476</v>
      </c>
      <c r="D141" s="366">
        <v>7</v>
      </c>
      <c r="E141" s="366">
        <v>816</v>
      </c>
      <c r="F141" s="366">
        <v>955</v>
      </c>
      <c r="G141" s="366">
        <v>73</v>
      </c>
      <c r="H141" s="366">
        <v>14</v>
      </c>
      <c r="I141" s="699">
        <v>2341</v>
      </c>
    </row>
    <row r="142" spans="2:9" ht="20.100000000000001" customHeight="1">
      <c r="B142" s="151" t="s">
        <v>469</v>
      </c>
      <c r="C142" s="664" t="s">
        <v>14</v>
      </c>
      <c r="D142" s="367">
        <v>145</v>
      </c>
      <c r="E142" s="367">
        <v>3</v>
      </c>
      <c r="F142" s="367">
        <v>354</v>
      </c>
      <c r="G142" s="367">
        <v>78</v>
      </c>
      <c r="H142" s="367" t="s">
        <v>14</v>
      </c>
      <c r="I142" s="698">
        <v>580</v>
      </c>
    </row>
    <row r="143" spans="2:9" ht="20.100000000000001" customHeight="1">
      <c r="B143" s="673" t="s">
        <v>471</v>
      </c>
      <c r="C143" s="671">
        <v>460</v>
      </c>
      <c r="D143" s="671">
        <v>134</v>
      </c>
      <c r="E143" s="671">
        <v>476</v>
      </c>
      <c r="F143" s="671">
        <v>333</v>
      </c>
      <c r="G143" s="671">
        <v>91</v>
      </c>
      <c r="H143" s="671">
        <v>186</v>
      </c>
      <c r="I143" s="671">
        <v>1680</v>
      </c>
    </row>
    <row r="144" spans="2:9" ht="20.100000000000001" customHeight="1">
      <c r="B144" s="722" t="s">
        <v>470</v>
      </c>
      <c r="C144" s="661">
        <v>460</v>
      </c>
      <c r="D144" s="366">
        <v>3</v>
      </c>
      <c r="E144" s="366">
        <v>466</v>
      </c>
      <c r="F144" s="366">
        <v>255</v>
      </c>
      <c r="G144" s="366">
        <v>12</v>
      </c>
      <c r="H144" s="366">
        <v>186</v>
      </c>
      <c r="I144" s="699">
        <v>1382</v>
      </c>
    </row>
    <row r="145" spans="2:9" ht="20.100000000000001" customHeight="1">
      <c r="B145" s="721" t="s">
        <v>469</v>
      </c>
      <c r="C145" s="658" t="s">
        <v>14</v>
      </c>
      <c r="D145" s="657">
        <v>131</v>
      </c>
      <c r="E145" s="657">
        <v>10</v>
      </c>
      <c r="F145" s="657">
        <v>78</v>
      </c>
      <c r="G145" s="657">
        <v>79</v>
      </c>
      <c r="H145" s="657" t="s">
        <v>14</v>
      </c>
      <c r="I145" s="720">
        <v>298</v>
      </c>
    </row>
    <row r="146" spans="2:9" ht="20.100000000000001" customHeight="1">
      <c r="B146" s="637" t="s">
        <v>474</v>
      </c>
      <c r="C146" s="637"/>
      <c r="D146" s="637"/>
      <c r="E146" s="637"/>
      <c r="F146" s="637"/>
      <c r="G146" s="637"/>
      <c r="H146" s="637"/>
      <c r="I146" s="637"/>
    </row>
    <row r="147" spans="2:9" ht="20.100000000000001" customHeight="1">
      <c r="B147" s="665" t="s">
        <v>473</v>
      </c>
      <c r="C147" s="725">
        <v>902</v>
      </c>
      <c r="D147" s="724">
        <v>293</v>
      </c>
      <c r="E147" s="724">
        <v>1199</v>
      </c>
      <c r="F147" s="724">
        <v>1628</v>
      </c>
      <c r="G147" s="724">
        <v>308</v>
      </c>
      <c r="H147" s="724">
        <v>192</v>
      </c>
      <c r="I147" s="723">
        <v>4522</v>
      </c>
    </row>
    <row r="148" spans="2:9" ht="20.100000000000001" customHeight="1">
      <c r="B148" s="722" t="s">
        <v>470</v>
      </c>
      <c r="C148" s="661">
        <v>902</v>
      </c>
      <c r="D148" s="366">
        <v>9</v>
      </c>
      <c r="E148" s="366">
        <v>1188</v>
      </c>
      <c r="F148" s="366">
        <v>1218</v>
      </c>
      <c r="G148" s="366">
        <v>168</v>
      </c>
      <c r="H148" s="366">
        <v>192</v>
      </c>
      <c r="I148" s="699">
        <v>3677</v>
      </c>
    </row>
    <row r="149" spans="2:9" ht="20.100000000000001" customHeight="1">
      <c r="B149" s="151" t="s">
        <v>469</v>
      </c>
      <c r="C149" s="664" t="s">
        <v>468</v>
      </c>
      <c r="D149" s="367">
        <v>284</v>
      </c>
      <c r="E149" s="367">
        <v>11</v>
      </c>
      <c r="F149" s="367">
        <v>410</v>
      </c>
      <c r="G149" s="367">
        <v>140</v>
      </c>
      <c r="H149" s="367" t="s">
        <v>468</v>
      </c>
      <c r="I149" s="698">
        <v>845</v>
      </c>
    </row>
    <row r="150" spans="2:9" ht="20.100000000000001" customHeight="1">
      <c r="B150" s="647" t="s">
        <v>472</v>
      </c>
      <c r="C150" s="586">
        <v>541</v>
      </c>
      <c r="D150" s="585">
        <v>176</v>
      </c>
      <c r="E150" s="585">
        <v>853</v>
      </c>
      <c r="F150" s="585">
        <v>1321</v>
      </c>
      <c r="G150" s="585">
        <v>145</v>
      </c>
      <c r="H150" s="585">
        <v>10</v>
      </c>
      <c r="I150" s="697">
        <v>3046</v>
      </c>
    </row>
    <row r="151" spans="2:9" ht="20.100000000000001" customHeight="1">
      <c r="B151" s="722" t="s">
        <v>470</v>
      </c>
      <c r="C151" s="661">
        <v>541</v>
      </c>
      <c r="D151" s="366">
        <v>8</v>
      </c>
      <c r="E151" s="366">
        <v>849</v>
      </c>
      <c r="F151" s="366">
        <v>1000</v>
      </c>
      <c r="G151" s="366">
        <v>77</v>
      </c>
      <c r="H151" s="366">
        <v>10</v>
      </c>
      <c r="I151" s="699">
        <v>2485</v>
      </c>
    </row>
    <row r="152" spans="2:9" ht="20.100000000000001" customHeight="1">
      <c r="B152" s="151" t="s">
        <v>469</v>
      </c>
      <c r="C152" s="664" t="s">
        <v>468</v>
      </c>
      <c r="D152" s="367">
        <v>168</v>
      </c>
      <c r="E152" s="367">
        <v>4</v>
      </c>
      <c r="F152" s="367">
        <v>321</v>
      </c>
      <c r="G152" s="367">
        <v>68</v>
      </c>
      <c r="H152" s="367" t="s">
        <v>468</v>
      </c>
      <c r="I152" s="698">
        <v>561</v>
      </c>
    </row>
    <row r="153" spans="2:9" ht="20.100000000000001" customHeight="1">
      <c r="B153" s="647" t="s">
        <v>471</v>
      </c>
      <c r="C153" s="586">
        <v>361</v>
      </c>
      <c r="D153" s="585">
        <v>117</v>
      </c>
      <c r="E153" s="585">
        <v>346</v>
      </c>
      <c r="F153" s="585">
        <v>307</v>
      </c>
      <c r="G153" s="585">
        <v>163</v>
      </c>
      <c r="H153" s="585">
        <v>182</v>
      </c>
      <c r="I153" s="697">
        <v>1476</v>
      </c>
    </row>
    <row r="154" spans="2:9" ht="20.100000000000001" customHeight="1">
      <c r="B154" s="722" t="s">
        <v>470</v>
      </c>
      <c r="C154" s="661">
        <v>361</v>
      </c>
      <c r="D154" s="366">
        <v>2</v>
      </c>
      <c r="E154" s="366">
        <v>338</v>
      </c>
      <c r="F154" s="366">
        <v>217</v>
      </c>
      <c r="G154" s="366">
        <v>91</v>
      </c>
      <c r="H154" s="366">
        <v>182</v>
      </c>
      <c r="I154" s="699">
        <v>1191</v>
      </c>
    </row>
    <row r="155" spans="2:9" ht="20.100000000000001" customHeight="1">
      <c r="B155" s="721" t="s">
        <v>469</v>
      </c>
      <c r="C155" s="658" t="s">
        <v>468</v>
      </c>
      <c r="D155" s="657">
        <v>115</v>
      </c>
      <c r="E155" s="657">
        <v>8</v>
      </c>
      <c r="F155" s="657">
        <v>90</v>
      </c>
      <c r="G155" s="657">
        <v>72</v>
      </c>
      <c r="H155" s="657" t="s">
        <v>468</v>
      </c>
      <c r="I155" s="720">
        <v>285</v>
      </c>
    </row>
    <row r="157" spans="2:9" ht="20.100000000000001" customHeight="1">
      <c r="B157" s="75"/>
      <c r="C157" s="75"/>
      <c r="D157" s="75"/>
      <c r="E157" s="75"/>
      <c r="F157" s="75"/>
      <c r="G157" s="75"/>
      <c r="H157" s="75"/>
      <c r="I157" s="75"/>
    </row>
    <row r="158" spans="2:9" ht="20.100000000000001" customHeight="1">
      <c r="C158" s="75"/>
      <c r="D158" s="75"/>
      <c r="E158" s="75"/>
      <c r="F158" s="75"/>
      <c r="G158" s="75"/>
      <c r="H158" s="75"/>
      <c r="I158" s="75"/>
    </row>
  </sheetData>
  <mergeCells count="7">
    <mergeCell ref="C94:I94"/>
    <mergeCell ref="B2:H2"/>
    <mergeCell ref="B4:H4"/>
    <mergeCell ref="B5:H5"/>
    <mergeCell ref="C7:I7"/>
    <mergeCell ref="B46:C46"/>
    <mergeCell ref="C54:I54"/>
  </mergeCells>
  <pageMargins left="0.75" right="0.75" top="1" bottom="1" header="0.5" footer="0.5"/>
  <pageSetup paperSize="9" scale="51" orientation="portrait" horizontalDpi="4294967292" verticalDpi="4294967292" r:id="rId1"/>
  <rowBreaks count="1" manualBreakCount="1">
    <brk id="92" max="16383" man="1"/>
  </rowBreak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43">
    <tabColor rgb="FF733E8D"/>
  </sheetPr>
  <dimension ref="B2:I61"/>
  <sheetViews>
    <sheetView showGridLines="0" view="pageBreakPreview" zoomScaleNormal="130" zoomScaleSheetLayoutView="100" zoomScalePageLayoutView="130" workbookViewId="0">
      <selection activeCell="B15" sqref="B15"/>
    </sheetView>
  </sheetViews>
  <sheetFormatPr defaultColWidth="10.875" defaultRowHeight="20.100000000000001" customHeight="1"/>
  <cols>
    <col min="1" max="1" width="5.5" style="468" customWidth="1"/>
    <col min="2" max="2" width="39.375" style="468" customWidth="1"/>
    <col min="3" max="16384" width="10.875" style="468"/>
  </cols>
  <sheetData>
    <row r="2" spans="2:9" ht="20.100000000000001" customHeight="1">
      <c r="B2" s="1156" t="str">
        <f>UPPER("Changes in bitumen reserves")</f>
        <v>CHANGES IN BITUMEN RESERVES</v>
      </c>
      <c r="C2" s="1156"/>
      <c r="D2" s="1156"/>
      <c r="E2" s="1156"/>
      <c r="F2" s="1156"/>
      <c r="G2" s="1156"/>
      <c r="H2" s="1156"/>
    </row>
    <row r="4" spans="2:9" ht="20.100000000000001" customHeight="1">
      <c r="B4" s="1195"/>
      <c r="C4" s="1195"/>
      <c r="D4" s="1195"/>
      <c r="E4" s="1195"/>
      <c r="F4" s="1195"/>
      <c r="G4" s="1195"/>
      <c r="H4" s="1195"/>
    </row>
    <row r="6" spans="2:9" ht="20.100000000000001" customHeight="1">
      <c r="B6" s="696" t="s">
        <v>534</v>
      </c>
      <c r="C6" s="1192" t="s">
        <v>470</v>
      </c>
      <c r="D6" s="1192"/>
      <c r="E6" s="1192"/>
      <c r="F6" s="1192"/>
      <c r="G6" s="1192"/>
      <c r="H6" s="1192"/>
      <c r="I6" s="1192"/>
    </row>
    <row r="7" spans="2:9" ht="56.25" customHeight="1">
      <c r="B7" s="695" t="s">
        <v>473</v>
      </c>
      <c r="C7" s="694" t="s">
        <v>482</v>
      </c>
      <c r="D7" s="693" t="s">
        <v>421</v>
      </c>
      <c r="E7" s="694" t="s">
        <v>481</v>
      </c>
      <c r="F7" s="694" t="s">
        <v>480</v>
      </c>
      <c r="G7" s="694" t="s">
        <v>443</v>
      </c>
      <c r="H7" s="693" t="s">
        <v>434</v>
      </c>
      <c r="I7" s="693" t="s">
        <v>36</v>
      </c>
    </row>
    <row r="8" spans="2:9" ht="15.95" customHeight="1">
      <c r="B8" s="679" t="s">
        <v>497</v>
      </c>
      <c r="C8" s="687" t="s">
        <v>14</v>
      </c>
      <c r="D8" s="676" t="s">
        <v>14</v>
      </c>
      <c r="E8" s="676" t="s">
        <v>14</v>
      </c>
      <c r="F8" s="676" t="s">
        <v>14</v>
      </c>
      <c r="G8" s="676">
        <v>984</v>
      </c>
      <c r="H8" s="676" t="s">
        <v>14</v>
      </c>
      <c r="I8" s="727">
        <v>984</v>
      </c>
    </row>
    <row r="9" spans="2:9" ht="15.95" customHeight="1">
      <c r="B9" s="741" t="s">
        <v>490</v>
      </c>
      <c r="C9" s="661" t="s">
        <v>14</v>
      </c>
      <c r="D9" s="366" t="s">
        <v>14</v>
      </c>
      <c r="E9" s="366" t="s">
        <v>14</v>
      </c>
      <c r="F9" s="366" t="s">
        <v>14</v>
      </c>
      <c r="G9" s="366">
        <v>43</v>
      </c>
      <c r="H9" s="366" t="s">
        <v>14</v>
      </c>
      <c r="I9" s="699">
        <v>43</v>
      </c>
    </row>
    <row r="10" spans="2:9" ht="15.95" customHeight="1">
      <c r="B10" s="741" t="s">
        <v>489</v>
      </c>
      <c r="C10" s="661" t="s">
        <v>14</v>
      </c>
      <c r="D10" s="366" t="s">
        <v>14</v>
      </c>
      <c r="E10" s="366" t="s">
        <v>14</v>
      </c>
      <c r="F10" s="366" t="s">
        <v>14</v>
      </c>
      <c r="G10" s="366">
        <v>15</v>
      </c>
      <c r="H10" s="366" t="s">
        <v>14</v>
      </c>
      <c r="I10" s="699">
        <v>15</v>
      </c>
    </row>
    <row r="11" spans="2:9" ht="15.95" customHeight="1">
      <c r="B11" s="741" t="s">
        <v>488</v>
      </c>
      <c r="C11" s="661" t="s">
        <v>14</v>
      </c>
      <c r="D11" s="366" t="s">
        <v>14</v>
      </c>
      <c r="E11" s="366" t="s">
        <v>14</v>
      </c>
      <c r="F11" s="366" t="s">
        <v>14</v>
      </c>
      <c r="G11" s="366" t="s">
        <v>14</v>
      </c>
      <c r="H11" s="366" t="s">
        <v>14</v>
      </c>
      <c r="I11" s="699" t="s">
        <v>14</v>
      </c>
    </row>
    <row r="12" spans="2:9" ht="15.95" customHeight="1">
      <c r="B12" s="741" t="s">
        <v>487</v>
      </c>
      <c r="C12" s="661" t="s">
        <v>14</v>
      </c>
      <c r="D12" s="366" t="s">
        <v>14</v>
      </c>
      <c r="E12" s="366" t="s">
        <v>14</v>
      </c>
      <c r="F12" s="366" t="s">
        <v>14</v>
      </c>
      <c r="G12" s="366" t="s">
        <v>14</v>
      </c>
      <c r="H12" s="366" t="s">
        <v>14</v>
      </c>
      <c r="I12" s="699" t="s">
        <v>14</v>
      </c>
    </row>
    <row r="13" spans="2:9" ht="15.95" customHeight="1">
      <c r="B13" s="740" t="s">
        <v>486</v>
      </c>
      <c r="C13" s="664" t="s">
        <v>14</v>
      </c>
      <c r="D13" s="367" t="s">
        <v>14</v>
      </c>
      <c r="E13" s="367" t="s">
        <v>14</v>
      </c>
      <c r="F13" s="367" t="s">
        <v>14</v>
      </c>
      <c r="G13" s="367">
        <v>-4</v>
      </c>
      <c r="H13" s="367" t="s">
        <v>14</v>
      </c>
      <c r="I13" s="698">
        <v>-4</v>
      </c>
    </row>
    <row r="14" spans="2:9" ht="20.100000000000001" customHeight="1">
      <c r="B14" s="679" t="s">
        <v>533</v>
      </c>
      <c r="C14" s="687" t="s">
        <v>14</v>
      </c>
      <c r="D14" s="676" t="s">
        <v>14</v>
      </c>
      <c r="E14" s="676" t="s">
        <v>14</v>
      </c>
      <c r="F14" s="676" t="s">
        <v>14</v>
      </c>
      <c r="G14" s="676">
        <v>1038</v>
      </c>
      <c r="H14" s="676" t="s">
        <v>14</v>
      </c>
      <c r="I14" s="727">
        <v>1038</v>
      </c>
    </row>
    <row r="15" spans="2:9" ht="20.100000000000001" customHeight="1">
      <c r="B15" s="741" t="s">
        <v>490</v>
      </c>
      <c r="C15" s="661" t="s">
        <v>14</v>
      </c>
      <c r="D15" s="366" t="s">
        <v>14</v>
      </c>
      <c r="E15" s="366" t="s">
        <v>14</v>
      </c>
      <c r="F15" s="366" t="s">
        <v>14</v>
      </c>
      <c r="G15" s="366">
        <v>2</v>
      </c>
      <c r="H15" s="366" t="s">
        <v>14</v>
      </c>
      <c r="I15" s="699">
        <v>2</v>
      </c>
    </row>
    <row r="16" spans="2:9" ht="20.100000000000001" customHeight="1">
      <c r="B16" s="741" t="s">
        <v>489</v>
      </c>
      <c r="C16" s="661" t="s">
        <v>14</v>
      </c>
      <c r="D16" s="366" t="s">
        <v>14</v>
      </c>
      <c r="E16" s="366" t="s">
        <v>14</v>
      </c>
      <c r="F16" s="366" t="s">
        <v>14</v>
      </c>
      <c r="G16" s="366">
        <v>53</v>
      </c>
      <c r="H16" s="366" t="s">
        <v>14</v>
      </c>
      <c r="I16" s="699">
        <v>53</v>
      </c>
    </row>
    <row r="17" spans="2:9" ht="20.100000000000001" customHeight="1">
      <c r="B17" s="741" t="s">
        <v>488</v>
      </c>
      <c r="C17" s="661" t="s">
        <v>14</v>
      </c>
      <c r="D17" s="366" t="s">
        <v>14</v>
      </c>
      <c r="E17" s="366" t="s">
        <v>14</v>
      </c>
      <c r="F17" s="366" t="s">
        <v>14</v>
      </c>
      <c r="G17" s="366" t="s">
        <v>14</v>
      </c>
      <c r="H17" s="366" t="s">
        <v>14</v>
      </c>
      <c r="I17" s="699" t="s">
        <v>14</v>
      </c>
    </row>
    <row r="18" spans="2:9" ht="20.100000000000001" customHeight="1">
      <c r="B18" s="741" t="s">
        <v>487</v>
      </c>
      <c r="C18" s="661" t="s">
        <v>14</v>
      </c>
      <c r="D18" s="366" t="s">
        <v>14</v>
      </c>
      <c r="E18" s="366" t="s">
        <v>14</v>
      </c>
      <c r="F18" s="366" t="s">
        <v>14</v>
      </c>
      <c r="G18" s="366" t="s">
        <v>14</v>
      </c>
      <c r="H18" s="366" t="s">
        <v>14</v>
      </c>
      <c r="I18" s="699" t="s">
        <v>14</v>
      </c>
    </row>
    <row r="19" spans="2:9" ht="20.100000000000001" customHeight="1">
      <c r="B19" s="740" t="s">
        <v>486</v>
      </c>
      <c r="C19" s="664" t="s">
        <v>14</v>
      </c>
      <c r="D19" s="367" t="s">
        <v>14</v>
      </c>
      <c r="E19" s="367" t="s">
        <v>14</v>
      </c>
      <c r="F19" s="367" t="s">
        <v>14</v>
      </c>
      <c r="G19" s="367">
        <v>-5</v>
      </c>
      <c r="H19" s="367" t="s">
        <v>14</v>
      </c>
      <c r="I19" s="698">
        <v>-5</v>
      </c>
    </row>
    <row r="20" spans="2:9" ht="20.100000000000001" customHeight="1">
      <c r="B20" s="679" t="s">
        <v>495</v>
      </c>
      <c r="C20" s="687" t="s">
        <v>14</v>
      </c>
      <c r="D20" s="676" t="s">
        <v>14</v>
      </c>
      <c r="E20" s="676" t="s">
        <v>14</v>
      </c>
      <c r="F20" s="676" t="s">
        <v>14</v>
      </c>
      <c r="G20" s="676">
        <v>1088</v>
      </c>
      <c r="H20" s="676" t="s">
        <v>14</v>
      </c>
      <c r="I20" s="727">
        <v>1088</v>
      </c>
    </row>
    <row r="21" spans="2:9" ht="20.100000000000001" customHeight="1">
      <c r="B21" s="741" t="s">
        <v>490</v>
      </c>
      <c r="C21" s="661" t="s">
        <v>14</v>
      </c>
      <c r="D21" s="366" t="s">
        <v>14</v>
      </c>
      <c r="E21" s="366" t="s">
        <v>14</v>
      </c>
      <c r="F21" s="366" t="s">
        <v>14</v>
      </c>
      <c r="G21" s="366">
        <v>-25</v>
      </c>
      <c r="H21" s="366" t="s">
        <v>14</v>
      </c>
      <c r="I21" s="699">
        <v>-25</v>
      </c>
    </row>
    <row r="22" spans="2:9" ht="20.100000000000001" customHeight="1">
      <c r="B22" s="741" t="s">
        <v>489</v>
      </c>
      <c r="C22" s="661" t="s">
        <v>14</v>
      </c>
      <c r="D22" s="366" t="s">
        <v>14</v>
      </c>
      <c r="E22" s="366" t="s">
        <v>14</v>
      </c>
      <c r="F22" s="366" t="s">
        <v>14</v>
      </c>
      <c r="G22" s="366">
        <v>87</v>
      </c>
      <c r="H22" s="366" t="s">
        <v>14</v>
      </c>
      <c r="I22" s="699">
        <v>87</v>
      </c>
    </row>
    <row r="23" spans="2:9" ht="20.100000000000001" customHeight="1">
      <c r="B23" s="741" t="s">
        <v>488</v>
      </c>
      <c r="C23" s="661" t="s">
        <v>14</v>
      </c>
      <c r="D23" s="366" t="s">
        <v>14</v>
      </c>
      <c r="E23" s="366" t="s">
        <v>14</v>
      </c>
      <c r="F23" s="366" t="s">
        <v>14</v>
      </c>
      <c r="G23" s="366" t="s">
        <v>14</v>
      </c>
      <c r="H23" s="366" t="s">
        <v>14</v>
      </c>
      <c r="I23" s="699" t="s">
        <v>14</v>
      </c>
    </row>
    <row r="24" spans="2:9" ht="20.100000000000001" customHeight="1">
      <c r="B24" s="741" t="s">
        <v>487</v>
      </c>
      <c r="C24" s="661" t="s">
        <v>14</v>
      </c>
      <c r="D24" s="366" t="s">
        <v>14</v>
      </c>
      <c r="E24" s="366" t="s">
        <v>14</v>
      </c>
      <c r="F24" s="366" t="s">
        <v>14</v>
      </c>
      <c r="G24" s="366" t="s">
        <v>14</v>
      </c>
      <c r="H24" s="366" t="s">
        <v>14</v>
      </c>
      <c r="I24" s="699" t="s">
        <v>14</v>
      </c>
    </row>
    <row r="25" spans="2:9" ht="20.100000000000001" customHeight="1">
      <c r="B25" s="740" t="s">
        <v>486</v>
      </c>
      <c r="C25" s="664" t="s">
        <v>14</v>
      </c>
      <c r="D25" s="367" t="s">
        <v>14</v>
      </c>
      <c r="E25" s="367" t="s">
        <v>14</v>
      </c>
      <c r="F25" s="367" t="s">
        <v>14</v>
      </c>
      <c r="G25" s="367">
        <v>-5</v>
      </c>
      <c r="H25" s="367" t="s">
        <v>14</v>
      </c>
      <c r="I25" s="698">
        <v>-5</v>
      </c>
    </row>
    <row r="26" spans="2:9" ht="20.100000000000001" customHeight="1">
      <c r="B26" s="679" t="s">
        <v>494</v>
      </c>
      <c r="C26" s="687" t="s">
        <v>14</v>
      </c>
      <c r="D26" s="676" t="s">
        <v>14</v>
      </c>
      <c r="E26" s="676" t="s">
        <v>14</v>
      </c>
      <c r="F26" s="676" t="s">
        <v>14</v>
      </c>
      <c r="G26" s="676">
        <v>1145</v>
      </c>
      <c r="H26" s="676" t="s">
        <v>14</v>
      </c>
      <c r="I26" s="727">
        <v>1145</v>
      </c>
    </row>
    <row r="27" spans="2:9" ht="20.100000000000001" customHeight="1">
      <c r="B27" s="741" t="s">
        <v>490</v>
      </c>
      <c r="C27" s="661" t="s">
        <v>14</v>
      </c>
      <c r="D27" s="366" t="s">
        <v>505</v>
      </c>
      <c r="E27" s="366" t="s">
        <v>14</v>
      </c>
      <c r="F27" s="366" t="s">
        <v>14</v>
      </c>
      <c r="G27" s="366">
        <v>130</v>
      </c>
      <c r="H27" s="366" t="s">
        <v>14</v>
      </c>
      <c r="I27" s="699">
        <v>130</v>
      </c>
    </row>
    <row r="28" spans="2:9" ht="20.100000000000001" customHeight="1">
      <c r="B28" s="741" t="s">
        <v>489</v>
      </c>
      <c r="C28" s="661" t="s">
        <v>14</v>
      </c>
      <c r="D28" s="366" t="s">
        <v>14</v>
      </c>
      <c r="E28" s="366" t="s">
        <v>14</v>
      </c>
      <c r="F28" s="366" t="s">
        <v>14</v>
      </c>
      <c r="G28" s="366" t="s">
        <v>14</v>
      </c>
      <c r="H28" s="366" t="s">
        <v>14</v>
      </c>
      <c r="I28" s="699" t="s">
        <v>14</v>
      </c>
    </row>
    <row r="29" spans="2:9" ht="20.100000000000001" customHeight="1">
      <c r="B29" s="741" t="s">
        <v>488</v>
      </c>
      <c r="C29" s="661" t="s">
        <v>14</v>
      </c>
      <c r="D29" s="366" t="s">
        <v>14</v>
      </c>
      <c r="E29" s="366" t="s">
        <v>14</v>
      </c>
      <c r="F29" s="366" t="s">
        <v>14</v>
      </c>
      <c r="G29" s="366" t="s">
        <v>14</v>
      </c>
      <c r="H29" s="366" t="s">
        <v>14</v>
      </c>
      <c r="I29" s="699" t="s">
        <v>14</v>
      </c>
    </row>
    <row r="30" spans="2:9" ht="20.100000000000001" customHeight="1">
      <c r="B30" s="741" t="s">
        <v>487</v>
      </c>
      <c r="C30" s="661" t="s">
        <v>14</v>
      </c>
      <c r="D30" s="366" t="s">
        <v>14</v>
      </c>
      <c r="E30" s="366" t="s">
        <v>14</v>
      </c>
      <c r="F30" s="366" t="s">
        <v>14</v>
      </c>
      <c r="G30" s="366">
        <v>-160</v>
      </c>
      <c r="H30" s="366" t="s">
        <v>14</v>
      </c>
      <c r="I30" s="699">
        <v>-160</v>
      </c>
    </row>
    <row r="31" spans="2:9" ht="20.100000000000001" customHeight="1">
      <c r="B31" s="740" t="s">
        <v>486</v>
      </c>
      <c r="C31" s="664" t="s">
        <v>14</v>
      </c>
      <c r="D31" s="367" t="s">
        <v>14</v>
      </c>
      <c r="E31" s="367" t="s">
        <v>14</v>
      </c>
      <c r="F31" s="367" t="s">
        <v>14</v>
      </c>
      <c r="G31" s="367">
        <v>-5</v>
      </c>
      <c r="H31" s="367" t="s">
        <v>14</v>
      </c>
      <c r="I31" s="698">
        <v>-5</v>
      </c>
    </row>
    <row r="32" spans="2:9" ht="20.100000000000001" customHeight="1">
      <c r="B32" s="679" t="s">
        <v>492</v>
      </c>
      <c r="C32" s="687" t="s">
        <v>14</v>
      </c>
      <c r="D32" s="676" t="s">
        <v>14</v>
      </c>
      <c r="E32" s="676" t="s">
        <v>14</v>
      </c>
      <c r="F32" s="676" t="s">
        <v>14</v>
      </c>
      <c r="G32" s="676">
        <v>1110</v>
      </c>
      <c r="H32" s="676" t="s">
        <v>14</v>
      </c>
      <c r="I32" s="727">
        <v>1110</v>
      </c>
    </row>
    <row r="33" spans="2:9" ht="20.100000000000001" customHeight="1">
      <c r="B33" s="741" t="s">
        <v>490</v>
      </c>
      <c r="C33" s="661" t="s">
        <v>14</v>
      </c>
      <c r="D33" s="366" t="s">
        <v>505</v>
      </c>
      <c r="E33" s="366" t="s">
        <v>14</v>
      </c>
      <c r="F33" s="366" t="s">
        <v>14</v>
      </c>
      <c r="G33" s="366">
        <v>-284</v>
      </c>
      <c r="H33" s="366" t="s">
        <v>14</v>
      </c>
      <c r="I33" s="699">
        <v>-284</v>
      </c>
    </row>
    <row r="34" spans="2:9" ht="20.100000000000001" customHeight="1">
      <c r="B34" s="741" t="s">
        <v>489</v>
      </c>
      <c r="C34" s="661" t="s">
        <v>14</v>
      </c>
      <c r="D34" s="366" t="s">
        <v>14</v>
      </c>
      <c r="E34" s="366" t="s">
        <v>14</v>
      </c>
      <c r="F34" s="366" t="s">
        <v>14</v>
      </c>
      <c r="G34" s="366" t="s">
        <v>14</v>
      </c>
      <c r="H34" s="366" t="s">
        <v>14</v>
      </c>
      <c r="I34" s="699" t="s">
        <v>14</v>
      </c>
    </row>
    <row r="35" spans="2:9" ht="20.100000000000001" customHeight="1">
      <c r="B35" s="741" t="s">
        <v>488</v>
      </c>
      <c r="C35" s="661" t="s">
        <v>14</v>
      </c>
      <c r="D35" s="366" t="s">
        <v>14</v>
      </c>
      <c r="E35" s="366" t="s">
        <v>14</v>
      </c>
      <c r="F35" s="366" t="s">
        <v>14</v>
      </c>
      <c r="G35" s="366" t="s">
        <v>14</v>
      </c>
      <c r="H35" s="366" t="s">
        <v>14</v>
      </c>
      <c r="I35" s="699" t="s">
        <v>14</v>
      </c>
    </row>
    <row r="36" spans="2:9" ht="20.100000000000001" customHeight="1">
      <c r="B36" s="741" t="s">
        <v>487</v>
      </c>
      <c r="C36" s="661" t="s">
        <v>14</v>
      </c>
      <c r="D36" s="366" t="s">
        <v>14</v>
      </c>
      <c r="E36" s="366" t="s">
        <v>14</v>
      </c>
      <c r="F36" s="366" t="s">
        <v>14</v>
      </c>
      <c r="G36" s="366" t="s">
        <v>14</v>
      </c>
      <c r="H36" s="366" t="s">
        <v>14</v>
      </c>
      <c r="I36" s="699" t="s">
        <v>14</v>
      </c>
    </row>
    <row r="37" spans="2:9" ht="20.100000000000001" customHeight="1">
      <c r="B37" s="740" t="s">
        <v>486</v>
      </c>
      <c r="C37" s="664" t="s">
        <v>14</v>
      </c>
      <c r="D37" s="367" t="s">
        <v>14</v>
      </c>
      <c r="E37" s="367" t="s">
        <v>14</v>
      </c>
      <c r="F37" s="367" t="s">
        <v>14</v>
      </c>
      <c r="G37" s="367">
        <v>-13</v>
      </c>
      <c r="H37" s="367" t="s">
        <v>14</v>
      </c>
      <c r="I37" s="698">
        <v>-13</v>
      </c>
    </row>
    <row r="38" spans="2:9" ht="20.100000000000001" customHeight="1">
      <c r="B38" s="679" t="s">
        <v>491</v>
      </c>
      <c r="C38" s="687" t="s">
        <v>14</v>
      </c>
      <c r="D38" s="676" t="s">
        <v>14</v>
      </c>
      <c r="E38" s="676" t="s">
        <v>14</v>
      </c>
      <c r="F38" s="676" t="s">
        <v>14</v>
      </c>
      <c r="G38" s="676">
        <v>813</v>
      </c>
      <c r="H38" s="676" t="s">
        <v>14</v>
      </c>
      <c r="I38" s="727">
        <v>813</v>
      </c>
    </row>
    <row r="39" spans="2:9" ht="20.100000000000001" customHeight="1">
      <c r="B39" s="741" t="s">
        <v>490</v>
      </c>
      <c r="C39" s="661" t="s">
        <v>468</v>
      </c>
      <c r="D39" s="366" t="s">
        <v>468</v>
      </c>
      <c r="E39" s="366" t="s">
        <v>468</v>
      </c>
      <c r="F39" s="366" t="s">
        <v>468</v>
      </c>
      <c r="G39" s="366">
        <v>189</v>
      </c>
      <c r="H39" s="366" t="s">
        <v>468</v>
      </c>
      <c r="I39" s="699">
        <v>189</v>
      </c>
    </row>
    <row r="40" spans="2:9" ht="20.100000000000001" customHeight="1">
      <c r="B40" s="741" t="s">
        <v>489</v>
      </c>
      <c r="C40" s="661" t="s">
        <v>468</v>
      </c>
      <c r="D40" s="366" t="s">
        <v>468</v>
      </c>
      <c r="E40" s="366" t="s">
        <v>468</v>
      </c>
      <c r="F40" s="366" t="s">
        <v>468</v>
      </c>
      <c r="G40" s="366" t="s">
        <v>14</v>
      </c>
      <c r="H40" s="366" t="s">
        <v>468</v>
      </c>
      <c r="I40" s="699" t="s">
        <v>468</v>
      </c>
    </row>
    <row r="41" spans="2:9" ht="20.100000000000001" customHeight="1">
      <c r="B41" s="741" t="s">
        <v>488</v>
      </c>
      <c r="C41" s="661" t="s">
        <v>468</v>
      </c>
      <c r="D41" s="366" t="s">
        <v>468</v>
      </c>
      <c r="E41" s="366" t="s">
        <v>468</v>
      </c>
      <c r="F41" s="366" t="s">
        <v>468</v>
      </c>
      <c r="G41" s="366" t="s">
        <v>14</v>
      </c>
      <c r="H41" s="366" t="s">
        <v>468</v>
      </c>
      <c r="I41" s="699" t="s">
        <v>468</v>
      </c>
    </row>
    <row r="42" spans="2:9" ht="20.100000000000001" customHeight="1">
      <c r="B42" s="741" t="s">
        <v>487</v>
      </c>
      <c r="C42" s="661" t="s">
        <v>468</v>
      </c>
      <c r="D42" s="366" t="s">
        <v>468</v>
      </c>
      <c r="E42" s="366" t="s">
        <v>468</v>
      </c>
      <c r="F42" s="366" t="s">
        <v>468</v>
      </c>
      <c r="G42" s="366">
        <v>-52</v>
      </c>
      <c r="H42" s="366" t="s">
        <v>468</v>
      </c>
      <c r="I42" s="699">
        <v>-52</v>
      </c>
    </row>
    <row r="43" spans="2:9" ht="20.100000000000001" customHeight="1">
      <c r="B43" s="740" t="s">
        <v>486</v>
      </c>
      <c r="C43" s="664" t="s">
        <v>468</v>
      </c>
      <c r="D43" s="367" t="s">
        <v>468</v>
      </c>
      <c r="E43" s="367" t="s">
        <v>468</v>
      </c>
      <c r="F43" s="367" t="s">
        <v>468</v>
      </c>
      <c r="G43" s="367">
        <v>-22</v>
      </c>
      <c r="H43" s="367" t="s">
        <v>468</v>
      </c>
      <c r="I43" s="698">
        <v>-22</v>
      </c>
    </row>
    <row r="44" spans="2:9" ht="20.100000000000001" customHeight="1">
      <c r="B44" s="647" t="s">
        <v>485</v>
      </c>
      <c r="C44" s="586" t="s">
        <v>468</v>
      </c>
      <c r="D44" s="585" t="s">
        <v>468</v>
      </c>
      <c r="E44" s="585" t="s">
        <v>468</v>
      </c>
      <c r="F44" s="585" t="s">
        <v>468</v>
      </c>
      <c r="G44" s="585">
        <v>928</v>
      </c>
      <c r="H44" s="585" t="s">
        <v>468</v>
      </c>
      <c r="I44" s="697">
        <v>928</v>
      </c>
    </row>
    <row r="45" spans="2:9" ht="20.100000000000001" customHeight="1">
      <c r="B45" s="739" t="s">
        <v>532</v>
      </c>
      <c r="C45" s="738"/>
      <c r="D45" s="738"/>
      <c r="E45" s="738"/>
      <c r="F45" s="738"/>
      <c r="G45" s="738"/>
      <c r="H45" s="738"/>
      <c r="I45" s="738"/>
    </row>
    <row r="46" spans="2:9" ht="20.100000000000001" customHeight="1">
      <c r="B46" s="648" t="s">
        <v>503</v>
      </c>
      <c r="C46" s="342" t="s">
        <v>14</v>
      </c>
      <c r="D46" s="342" t="s">
        <v>14</v>
      </c>
      <c r="E46" s="342" t="s">
        <v>14</v>
      </c>
      <c r="F46" s="342" t="s">
        <v>14</v>
      </c>
      <c r="G46" s="342">
        <v>18</v>
      </c>
      <c r="H46" s="342" t="s">
        <v>14</v>
      </c>
      <c r="I46" s="699">
        <v>18</v>
      </c>
    </row>
    <row r="47" spans="2:9" ht="20.100000000000001" customHeight="1">
      <c r="B47" s="648" t="s">
        <v>502</v>
      </c>
      <c r="C47" s="342" t="s">
        <v>14</v>
      </c>
      <c r="D47" s="342" t="s">
        <v>14</v>
      </c>
      <c r="E47" s="342" t="s">
        <v>14</v>
      </c>
      <c r="F47" s="342" t="s">
        <v>14</v>
      </c>
      <c r="G47" s="342">
        <v>15</v>
      </c>
      <c r="H47" s="342" t="s">
        <v>14</v>
      </c>
      <c r="I47" s="699">
        <v>15</v>
      </c>
    </row>
    <row r="48" spans="2:9" ht="20.100000000000001" customHeight="1">
      <c r="B48" s="706" t="s">
        <v>501</v>
      </c>
      <c r="C48" s="342" t="s">
        <v>14</v>
      </c>
      <c r="D48" s="342" t="s">
        <v>14</v>
      </c>
      <c r="E48" s="342" t="s">
        <v>14</v>
      </c>
      <c r="F48" s="342" t="s">
        <v>14</v>
      </c>
      <c r="G48" s="342">
        <v>17</v>
      </c>
      <c r="H48" s="342" t="s">
        <v>14</v>
      </c>
      <c r="I48" s="699">
        <v>17</v>
      </c>
    </row>
    <row r="49" spans="2:9" ht="20.100000000000001" customHeight="1">
      <c r="B49" s="706" t="s">
        <v>500</v>
      </c>
      <c r="C49" s="342" t="s">
        <v>14</v>
      </c>
      <c r="D49" s="342" t="s">
        <v>505</v>
      </c>
      <c r="E49" s="342" t="s">
        <v>14</v>
      </c>
      <c r="F49" s="342" t="s">
        <v>14</v>
      </c>
      <c r="G49" s="342">
        <v>100</v>
      </c>
      <c r="H49" s="342" t="s">
        <v>14</v>
      </c>
      <c r="I49" s="699">
        <v>100</v>
      </c>
    </row>
    <row r="50" spans="2:9" ht="20.100000000000001" customHeight="1">
      <c r="B50" s="706" t="s">
        <v>499</v>
      </c>
      <c r="C50" s="342" t="s">
        <v>14</v>
      </c>
      <c r="D50" s="342" t="s">
        <v>505</v>
      </c>
      <c r="E50" s="342" t="s">
        <v>14</v>
      </c>
      <c r="F50" s="342" t="s">
        <v>14</v>
      </c>
      <c r="G50" s="342">
        <v>160</v>
      </c>
      <c r="H50" s="342" t="s">
        <v>14</v>
      </c>
      <c r="I50" s="699">
        <v>160</v>
      </c>
    </row>
    <row r="51" spans="2:9" ht="20.100000000000001" customHeight="1">
      <c r="B51" s="647" t="s">
        <v>498</v>
      </c>
      <c r="C51" s="586" t="s">
        <v>14</v>
      </c>
      <c r="D51" s="585" t="s">
        <v>505</v>
      </c>
      <c r="E51" s="585" t="s">
        <v>14</v>
      </c>
      <c r="F51" s="585" t="s">
        <v>14</v>
      </c>
      <c r="G51" s="585">
        <v>142</v>
      </c>
      <c r="H51" s="585" t="s">
        <v>14</v>
      </c>
      <c r="I51" s="697">
        <v>142</v>
      </c>
    </row>
    <row r="52" spans="2:9" ht="20.100000000000001" customHeight="1">
      <c r="B52" s="739" t="s">
        <v>531</v>
      </c>
      <c r="C52" s="738"/>
      <c r="D52" s="738"/>
      <c r="E52" s="738"/>
      <c r="F52" s="738"/>
      <c r="G52" s="738"/>
      <c r="H52" s="738"/>
      <c r="I52" s="738"/>
    </row>
    <row r="53" spans="2:9" ht="20.100000000000001" customHeight="1">
      <c r="B53" s="648" t="s">
        <v>503</v>
      </c>
      <c r="C53" s="342" t="s">
        <v>14</v>
      </c>
      <c r="D53" s="342" t="s">
        <v>14</v>
      </c>
      <c r="E53" s="342" t="s">
        <v>14</v>
      </c>
      <c r="F53" s="342" t="s">
        <v>14</v>
      </c>
      <c r="G53" s="342">
        <v>1020</v>
      </c>
      <c r="H53" s="342" t="s">
        <v>14</v>
      </c>
      <c r="I53" s="699">
        <v>1020</v>
      </c>
    </row>
    <row r="54" spans="2:9" ht="20.100000000000001" customHeight="1">
      <c r="B54" s="648" t="s">
        <v>502</v>
      </c>
      <c r="C54" s="342" t="s">
        <v>14</v>
      </c>
      <c r="D54" s="342" t="s">
        <v>14</v>
      </c>
      <c r="E54" s="342" t="s">
        <v>14</v>
      </c>
      <c r="F54" s="342" t="s">
        <v>14</v>
      </c>
      <c r="G54" s="342">
        <v>1073</v>
      </c>
      <c r="H54" s="342" t="s">
        <v>14</v>
      </c>
      <c r="I54" s="699">
        <v>1073</v>
      </c>
    </row>
    <row r="55" spans="2:9" ht="20.100000000000001" customHeight="1">
      <c r="B55" s="706" t="s">
        <v>501</v>
      </c>
      <c r="C55" s="342" t="s">
        <v>14</v>
      </c>
      <c r="D55" s="342" t="s">
        <v>14</v>
      </c>
      <c r="E55" s="342" t="s">
        <v>14</v>
      </c>
      <c r="F55" s="342" t="s">
        <v>14</v>
      </c>
      <c r="G55" s="342">
        <v>1128</v>
      </c>
      <c r="H55" s="342" t="s">
        <v>14</v>
      </c>
      <c r="I55" s="699">
        <v>1128</v>
      </c>
    </row>
    <row r="56" spans="2:9" ht="20.100000000000001" customHeight="1">
      <c r="B56" s="706" t="s">
        <v>500</v>
      </c>
      <c r="C56" s="342" t="s">
        <v>14</v>
      </c>
      <c r="D56" s="342" t="s">
        <v>505</v>
      </c>
      <c r="E56" s="342" t="s">
        <v>14</v>
      </c>
      <c r="F56" s="342" t="s">
        <v>14</v>
      </c>
      <c r="G56" s="342">
        <v>1010</v>
      </c>
      <c r="H56" s="342" t="s">
        <v>14</v>
      </c>
      <c r="I56" s="699">
        <v>1010</v>
      </c>
    </row>
    <row r="57" spans="2:9" ht="20.100000000000001" customHeight="1">
      <c r="B57" s="706" t="s">
        <v>499</v>
      </c>
      <c r="C57" s="342" t="s">
        <v>14</v>
      </c>
      <c r="D57" s="342" t="s">
        <v>505</v>
      </c>
      <c r="E57" s="342" t="s">
        <v>14</v>
      </c>
      <c r="F57" s="342" t="s">
        <v>14</v>
      </c>
      <c r="G57" s="342">
        <v>653</v>
      </c>
      <c r="H57" s="342" t="s">
        <v>14</v>
      </c>
      <c r="I57" s="699">
        <v>653</v>
      </c>
    </row>
    <row r="58" spans="2:9" ht="20.100000000000001" customHeight="1">
      <c r="B58" s="647" t="s">
        <v>498</v>
      </c>
      <c r="C58" s="586" t="s">
        <v>14</v>
      </c>
      <c r="D58" s="585" t="s">
        <v>505</v>
      </c>
      <c r="E58" s="585" t="s">
        <v>14</v>
      </c>
      <c r="F58" s="585" t="s">
        <v>14</v>
      </c>
      <c r="G58" s="585">
        <v>786</v>
      </c>
      <c r="H58" s="585" t="s">
        <v>14</v>
      </c>
      <c r="I58" s="585">
        <v>786</v>
      </c>
    </row>
    <row r="59" spans="2:9" ht="20.100000000000001" customHeight="1">
      <c r="B59" s="72"/>
      <c r="C59" s="737"/>
      <c r="D59" s="737"/>
      <c r="E59" s="737"/>
      <c r="F59" s="737"/>
      <c r="G59" s="737"/>
      <c r="H59" s="737"/>
    </row>
    <row r="60" spans="2:9" ht="20.100000000000001" customHeight="1">
      <c r="B60" s="1188" t="s">
        <v>530</v>
      </c>
      <c r="C60" s="1188"/>
      <c r="D60" s="1188"/>
      <c r="E60" s="1188"/>
      <c r="F60" s="1188"/>
      <c r="G60" s="1188"/>
      <c r="H60" s="1188"/>
    </row>
    <row r="61" spans="2:9" ht="20.100000000000001" customHeight="1">
      <c r="B61" s="1188" t="s">
        <v>529</v>
      </c>
      <c r="C61" s="1188"/>
      <c r="D61" s="1188"/>
      <c r="E61" s="1188"/>
      <c r="F61" s="1188"/>
      <c r="G61" s="1188"/>
      <c r="H61" s="1188"/>
    </row>
  </sheetData>
  <mergeCells count="5">
    <mergeCell ref="B2:H2"/>
    <mergeCell ref="B4:H4"/>
    <mergeCell ref="C6:I6"/>
    <mergeCell ref="B60:H60"/>
    <mergeCell ref="B61:H61"/>
  </mergeCells>
  <pageMargins left="0.75" right="0.75" top="1" bottom="1" header="0.5" footer="0.5"/>
  <pageSetup paperSize="9" scale="65" orientation="portrait" horizontalDpi="4294967292" verticalDpi="4294967292"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44">
    <tabColor rgb="FF733E8D"/>
  </sheetPr>
  <dimension ref="B2:P154"/>
  <sheetViews>
    <sheetView showGridLines="0" view="pageBreakPreview" zoomScaleNormal="130" zoomScaleSheetLayoutView="100" zoomScalePageLayoutView="130" workbookViewId="0">
      <selection activeCell="B15" sqref="B15"/>
    </sheetView>
  </sheetViews>
  <sheetFormatPr defaultColWidth="10.875" defaultRowHeight="20.100000000000001" customHeight="1"/>
  <cols>
    <col min="1" max="1" width="5.5" style="468" customWidth="1"/>
    <col min="2" max="2" width="39.375" style="468" customWidth="1"/>
    <col min="3" max="16384" width="10.875" style="468"/>
  </cols>
  <sheetData>
    <row r="2" spans="2:10" ht="20.100000000000001" customHeight="1">
      <c r="B2" s="1156" t="str">
        <f>UPPER("Changes in gas reserves")</f>
        <v>CHANGES IN GAS RESERVES</v>
      </c>
      <c r="C2" s="1156"/>
      <c r="D2" s="1156"/>
      <c r="E2" s="1156"/>
      <c r="F2" s="1156"/>
      <c r="G2" s="1156"/>
      <c r="H2" s="1156"/>
    </row>
    <row r="4" spans="2:10" ht="20.100000000000001" customHeight="1">
      <c r="B4" s="696" t="s">
        <v>538</v>
      </c>
      <c r="C4" s="1192" t="s">
        <v>470</v>
      </c>
      <c r="D4" s="1192"/>
      <c r="E4" s="1192"/>
      <c r="F4" s="1192"/>
      <c r="G4" s="1192"/>
      <c r="H4" s="1192"/>
      <c r="I4" s="1192"/>
    </row>
    <row r="5" spans="2:10" ht="60.75" customHeight="1">
      <c r="B5" s="695" t="s">
        <v>473</v>
      </c>
      <c r="C5" s="694" t="s">
        <v>482</v>
      </c>
      <c r="D5" s="693" t="s">
        <v>421</v>
      </c>
      <c r="E5" s="694" t="s">
        <v>481</v>
      </c>
      <c r="F5" s="694" t="s">
        <v>480</v>
      </c>
      <c r="G5" s="694" t="s">
        <v>443</v>
      </c>
      <c r="H5" s="693" t="s">
        <v>434</v>
      </c>
      <c r="I5" s="693" t="s">
        <v>36</v>
      </c>
      <c r="J5" s="655"/>
    </row>
    <row r="6" spans="2:10" ht="18.95" customHeight="1">
      <c r="B6" s="679" t="s">
        <v>497</v>
      </c>
      <c r="C6" s="687">
        <v>5507</v>
      </c>
      <c r="D6" s="676">
        <v>18</v>
      </c>
      <c r="E6" s="676">
        <v>4632</v>
      </c>
      <c r="F6" s="676">
        <v>1679</v>
      </c>
      <c r="G6" s="676">
        <v>3863</v>
      </c>
      <c r="H6" s="676">
        <v>5076</v>
      </c>
      <c r="I6" s="727">
        <v>20775</v>
      </c>
      <c r="J6" s="655"/>
    </row>
    <row r="7" spans="2:10" ht="18.95" customHeight="1">
      <c r="B7" s="363" t="s">
        <v>490</v>
      </c>
      <c r="C7" s="661">
        <v>310</v>
      </c>
      <c r="D7" s="366" t="s">
        <v>14</v>
      </c>
      <c r="E7" s="366">
        <v>30</v>
      </c>
      <c r="F7" s="366">
        <v>-131</v>
      </c>
      <c r="G7" s="366">
        <v>-278</v>
      </c>
      <c r="H7" s="366">
        <v>-27</v>
      </c>
      <c r="I7" s="699">
        <v>-96</v>
      </c>
      <c r="J7" s="655"/>
    </row>
    <row r="8" spans="2:10" ht="18.95" customHeight="1">
      <c r="B8" s="363" t="s">
        <v>489</v>
      </c>
      <c r="C8" s="661">
        <v>216</v>
      </c>
      <c r="D8" s="366" t="s">
        <v>14</v>
      </c>
      <c r="E8" s="366">
        <v>124</v>
      </c>
      <c r="F8" s="366">
        <v>8</v>
      </c>
      <c r="G8" s="366">
        <v>478</v>
      </c>
      <c r="H8" s="366">
        <v>196</v>
      </c>
      <c r="I8" s="699">
        <v>1022</v>
      </c>
      <c r="J8" s="655"/>
    </row>
    <row r="9" spans="2:10" ht="18.95" customHeight="1">
      <c r="B9" s="363" t="s">
        <v>488</v>
      </c>
      <c r="C9" s="661">
        <v>138</v>
      </c>
      <c r="D9" s="366" t="s">
        <v>14</v>
      </c>
      <c r="E9" s="366" t="s">
        <v>14</v>
      </c>
      <c r="F9" s="366" t="s">
        <v>14</v>
      </c>
      <c r="G9" s="366" t="s">
        <v>14</v>
      </c>
      <c r="H9" s="366" t="s">
        <v>14</v>
      </c>
      <c r="I9" s="699">
        <v>138</v>
      </c>
      <c r="J9" s="655"/>
    </row>
    <row r="10" spans="2:10" ht="18.95" customHeight="1">
      <c r="B10" s="363" t="s">
        <v>487</v>
      </c>
      <c r="C10" s="661">
        <v>-31</v>
      </c>
      <c r="D10" s="366" t="s">
        <v>14</v>
      </c>
      <c r="E10" s="366">
        <v>-172</v>
      </c>
      <c r="F10" s="366" t="s">
        <v>14</v>
      </c>
      <c r="G10" s="366">
        <v>-35</v>
      </c>
      <c r="H10" s="366" t="s">
        <v>14</v>
      </c>
      <c r="I10" s="699">
        <v>-238</v>
      </c>
      <c r="J10" s="655"/>
    </row>
    <row r="11" spans="2:10" ht="18.95" customHeight="1">
      <c r="B11" s="365" t="s">
        <v>486</v>
      </c>
      <c r="C11" s="664">
        <v>-485</v>
      </c>
      <c r="D11" s="367">
        <v>-1</v>
      </c>
      <c r="E11" s="367">
        <v>-224</v>
      </c>
      <c r="F11" s="367">
        <v>-108</v>
      </c>
      <c r="G11" s="367">
        <v>-337</v>
      </c>
      <c r="H11" s="367">
        <v>-409</v>
      </c>
      <c r="I11" s="698">
        <v>-1564</v>
      </c>
      <c r="J11" s="655"/>
    </row>
    <row r="12" spans="2:10" ht="20.100000000000001" customHeight="1">
      <c r="B12" s="679" t="s">
        <v>496</v>
      </c>
      <c r="C12" s="687">
        <v>5655</v>
      </c>
      <c r="D12" s="676">
        <v>17</v>
      </c>
      <c r="E12" s="676">
        <v>4390</v>
      </c>
      <c r="F12" s="676">
        <v>1448</v>
      </c>
      <c r="G12" s="676">
        <v>3691</v>
      </c>
      <c r="H12" s="676">
        <v>4836</v>
      </c>
      <c r="I12" s="727">
        <v>20037</v>
      </c>
    </row>
    <row r="13" spans="2:10" ht="20.100000000000001" customHeight="1">
      <c r="B13" s="363" t="s">
        <v>490</v>
      </c>
      <c r="C13" s="661">
        <v>95</v>
      </c>
      <c r="D13" s="366" t="s">
        <v>14</v>
      </c>
      <c r="E13" s="366">
        <v>-892</v>
      </c>
      <c r="F13" s="366">
        <v>34</v>
      </c>
      <c r="G13" s="366">
        <v>199</v>
      </c>
      <c r="H13" s="366">
        <v>-287</v>
      </c>
      <c r="I13" s="699">
        <v>-851</v>
      </c>
    </row>
    <row r="14" spans="2:10" ht="20.100000000000001" customHeight="1">
      <c r="B14" s="363" t="s">
        <v>489</v>
      </c>
      <c r="C14" s="661">
        <v>947</v>
      </c>
      <c r="D14" s="366" t="s">
        <v>14</v>
      </c>
      <c r="E14" s="366">
        <v>12</v>
      </c>
      <c r="F14" s="366" t="s">
        <v>14</v>
      </c>
      <c r="G14" s="366">
        <v>336</v>
      </c>
      <c r="H14" s="366">
        <v>154</v>
      </c>
      <c r="I14" s="699">
        <v>1449</v>
      </c>
    </row>
    <row r="15" spans="2:10" ht="20.100000000000001" customHeight="1">
      <c r="B15" s="363" t="s">
        <v>488</v>
      </c>
      <c r="C15" s="661">
        <v>1</v>
      </c>
      <c r="D15" s="366" t="s">
        <v>14</v>
      </c>
      <c r="E15" s="366" t="s">
        <v>14</v>
      </c>
      <c r="F15" s="366" t="s">
        <v>14</v>
      </c>
      <c r="G15" s="366" t="s">
        <v>14</v>
      </c>
      <c r="H15" s="366">
        <v>506</v>
      </c>
      <c r="I15" s="699">
        <v>507</v>
      </c>
    </row>
    <row r="16" spans="2:10" ht="20.100000000000001" customHeight="1">
      <c r="B16" s="363" t="s">
        <v>487</v>
      </c>
      <c r="C16" s="661">
        <v>-13</v>
      </c>
      <c r="D16" s="366" t="s">
        <v>14</v>
      </c>
      <c r="E16" s="366" t="s">
        <v>14</v>
      </c>
      <c r="F16" s="366" t="s">
        <v>14</v>
      </c>
      <c r="G16" s="366">
        <v>-243</v>
      </c>
      <c r="H16" s="366" t="s">
        <v>14</v>
      </c>
      <c r="I16" s="699">
        <v>-256</v>
      </c>
    </row>
    <row r="17" spans="2:9" ht="20.100000000000001" customHeight="1">
      <c r="B17" s="365" t="s">
        <v>486</v>
      </c>
      <c r="C17" s="664">
        <v>-480</v>
      </c>
      <c r="D17" s="367">
        <v>-1</v>
      </c>
      <c r="E17" s="367">
        <v>-219</v>
      </c>
      <c r="F17" s="367">
        <v>-97</v>
      </c>
      <c r="G17" s="367">
        <v>-320</v>
      </c>
      <c r="H17" s="367">
        <v>-427</v>
      </c>
      <c r="I17" s="698">
        <v>-1544</v>
      </c>
    </row>
    <row r="18" spans="2:9" ht="20.100000000000001" customHeight="1">
      <c r="B18" s="679" t="s">
        <v>495</v>
      </c>
      <c r="C18" s="687">
        <v>6205</v>
      </c>
      <c r="D18" s="676">
        <v>16</v>
      </c>
      <c r="E18" s="676">
        <v>3291</v>
      </c>
      <c r="F18" s="676">
        <v>1385</v>
      </c>
      <c r="G18" s="676">
        <v>3663</v>
      </c>
      <c r="H18" s="676">
        <v>4782</v>
      </c>
      <c r="I18" s="727">
        <v>19342</v>
      </c>
    </row>
    <row r="19" spans="2:9" ht="18" customHeight="1">
      <c r="B19" s="363" t="s">
        <v>490</v>
      </c>
      <c r="C19" s="661">
        <v>81</v>
      </c>
      <c r="D19" s="366" t="s">
        <v>14</v>
      </c>
      <c r="E19" s="366">
        <v>82</v>
      </c>
      <c r="F19" s="366">
        <v>11</v>
      </c>
      <c r="G19" s="366">
        <v>54</v>
      </c>
      <c r="H19" s="366">
        <v>117</v>
      </c>
      <c r="I19" s="699">
        <v>345</v>
      </c>
    </row>
    <row r="20" spans="2:9" ht="20.100000000000001" customHeight="1">
      <c r="B20" s="363" t="s">
        <v>489</v>
      </c>
      <c r="C20" s="661">
        <v>99</v>
      </c>
      <c r="D20" s="366" t="s">
        <v>14</v>
      </c>
      <c r="E20" s="366">
        <v>56</v>
      </c>
      <c r="F20" s="366">
        <v>1</v>
      </c>
      <c r="G20" s="366">
        <v>296</v>
      </c>
      <c r="H20" s="366">
        <v>154</v>
      </c>
      <c r="I20" s="699">
        <v>606</v>
      </c>
    </row>
    <row r="21" spans="2:9" ht="20.100000000000001" customHeight="1">
      <c r="B21" s="363" t="s">
        <v>488</v>
      </c>
      <c r="C21" s="661">
        <v>6</v>
      </c>
      <c r="D21" s="366" t="s">
        <v>14</v>
      </c>
      <c r="E21" s="366" t="s">
        <v>14</v>
      </c>
      <c r="F21" s="366" t="s">
        <v>14</v>
      </c>
      <c r="G21" s="366" t="s">
        <v>14</v>
      </c>
      <c r="H21" s="366" t="s">
        <v>14</v>
      </c>
      <c r="I21" s="699">
        <v>6</v>
      </c>
    </row>
    <row r="22" spans="2:9" ht="20.100000000000001" customHeight="1">
      <c r="B22" s="363" t="s">
        <v>487</v>
      </c>
      <c r="C22" s="661">
        <v>-1038</v>
      </c>
      <c r="D22" s="366" t="s">
        <v>14</v>
      </c>
      <c r="E22" s="366">
        <v>-6</v>
      </c>
      <c r="F22" s="366" t="s">
        <v>14</v>
      </c>
      <c r="G22" s="366" t="s">
        <v>14</v>
      </c>
      <c r="H22" s="366" t="s">
        <v>14</v>
      </c>
      <c r="I22" s="699">
        <v>-1044</v>
      </c>
    </row>
    <row r="23" spans="2:9" ht="20.100000000000001" customHeight="1">
      <c r="B23" s="365" t="s">
        <v>486</v>
      </c>
      <c r="C23" s="664">
        <v>-419</v>
      </c>
      <c r="D23" s="367">
        <v>-1</v>
      </c>
      <c r="E23" s="367">
        <v>-220</v>
      </c>
      <c r="F23" s="367">
        <v>-97</v>
      </c>
      <c r="G23" s="367">
        <v>-320</v>
      </c>
      <c r="H23" s="367">
        <v>-431</v>
      </c>
      <c r="I23" s="698">
        <v>-1488</v>
      </c>
    </row>
    <row r="24" spans="2:9" ht="20.100000000000001" customHeight="1">
      <c r="B24" s="679" t="s">
        <v>494</v>
      </c>
      <c r="C24" s="687">
        <v>4934</v>
      </c>
      <c r="D24" s="676">
        <v>15</v>
      </c>
      <c r="E24" s="676">
        <v>3203</v>
      </c>
      <c r="F24" s="676">
        <v>1300</v>
      </c>
      <c r="G24" s="676">
        <v>3693</v>
      </c>
      <c r="H24" s="676">
        <v>4622</v>
      </c>
      <c r="I24" s="727">
        <v>17767</v>
      </c>
    </row>
    <row r="25" spans="2:9" ht="19.5" customHeight="1">
      <c r="B25" s="363" t="s">
        <v>490</v>
      </c>
      <c r="C25" s="661">
        <v>55</v>
      </c>
      <c r="D25" s="366">
        <v>1</v>
      </c>
      <c r="E25" s="366">
        <v>-57</v>
      </c>
      <c r="F25" s="366">
        <v>197</v>
      </c>
      <c r="G25" s="366">
        <v>-92</v>
      </c>
      <c r="H25" s="366">
        <v>296</v>
      </c>
      <c r="I25" s="699">
        <v>400</v>
      </c>
    </row>
    <row r="26" spans="2:9" ht="20.100000000000001" customHeight="1">
      <c r="B26" s="363" t="s">
        <v>489</v>
      </c>
      <c r="C26" s="661">
        <v>40</v>
      </c>
      <c r="D26" s="366" t="s">
        <v>14</v>
      </c>
      <c r="E26" s="366">
        <v>7</v>
      </c>
      <c r="F26" s="366">
        <v>42</v>
      </c>
      <c r="G26" s="366">
        <v>24</v>
      </c>
      <c r="H26" s="366">
        <v>38</v>
      </c>
      <c r="I26" s="699">
        <v>151</v>
      </c>
    </row>
    <row r="27" spans="2:9" ht="20.100000000000001" customHeight="1">
      <c r="B27" s="363" t="s">
        <v>488</v>
      </c>
      <c r="C27" s="661" t="s">
        <v>14</v>
      </c>
      <c r="D27" s="366" t="s">
        <v>14</v>
      </c>
      <c r="E27" s="366" t="s">
        <v>14</v>
      </c>
      <c r="F27" s="366" t="s">
        <v>14</v>
      </c>
      <c r="G27" s="366" t="s">
        <v>14</v>
      </c>
      <c r="H27" s="366" t="s">
        <v>14</v>
      </c>
      <c r="I27" s="699" t="s">
        <v>14</v>
      </c>
    </row>
    <row r="28" spans="2:9" ht="20.100000000000001" customHeight="1">
      <c r="B28" s="363" t="s">
        <v>487</v>
      </c>
      <c r="C28" s="661">
        <v>-135</v>
      </c>
      <c r="D28" s="366" t="s">
        <v>14</v>
      </c>
      <c r="E28" s="366">
        <v>-93</v>
      </c>
      <c r="F28" s="366" t="s">
        <v>14</v>
      </c>
      <c r="G28" s="366" t="s">
        <v>14</v>
      </c>
      <c r="H28" s="366" t="s">
        <v>14</v>
      </c>
      <c r="I28" s="699">
        <v>-228</v>
      </c>
    </row>
    <row r="29" spans="2:9" ht="20.100000000000001" customHeight="1">
      <c r="B29" s="365" t="s">
        <v>486</v>
      </c>
      <c r="C29" s="664">
        <v>-424</v>
      </c>
      <c r="D29" s="367">
        <v>-1</v>
      </c>
      <c r="E29" s="367">
        <v>-212</v>
      </c>
      <c r="F29" s="367">
        <v>-110</v>
      </c>
      <c r="G29" s="367">
        <v>-324</v>
      </c>
      <c r="H29" s="367">
        <v>-471</v>
      </c>
      <c r="I29" s="698">
        <v>-1542</v>
      </c>
    </row>
    <row r="30" spans="2:9" ht="20.100000000000001" customHeight="1">
      <c r="B30" s="679" t="s">
        <v>492</v>
      </c>
      <c r="C30" s="687">
        <v>4470</v>
      </c>
      <c r="D30" s="676">
        <v>15</v>
      </c>
      <c r="E30" s="676">
        <v>2848</v>
      </c>
      <c r="F30" s="676">
        <v>1429</v>
      </c>
      <c r="G30" s="676">
        <v>3301</v>
      </c>
      <c r="H30" s="676">
        <v>4485</v>
      </c>
      <c r="I30" s="727">
        <v>16548</v>
      </c>
    </row>
    <row r="31" spans="2:9" ht="19.5" customHeight="1">
      <c r="B31" s="363" t="s">
        <v>490</v>
      </c>
      <c r="C31" s="661">
        <v>143</v>
      </c>
      <c r="D31" s="366">
        <v>-2</v>
      </c>
      <c r="E31" s="366">
        <v>-44</v>
      </c>
      <c r="F31" s="366">
        <v>-28</v>
      </c>
      <c r="G31" s="366">
        <v>347</v>
      </c>
      <c r="H31" s="366">
        <v>189</v>
      </c>
      <c r="I31" s="699">
        <v>605</v>
      </c>
    </row>
    <row r="32" spans="2:9" ht="20.100000000000001" customHeight="1">
      <c r="B32" s="363" t="s">
        <v>489</v>
      </c>
      <c r="C32" s="661">
        <v>173</v>
      </c>
      <c r="D32" s="366" t="s">
        <v>14</v>
      </c>
      <c r="E32" s="366" t="s">
        <v>14</v>
      </c>
      <c r="F32" s="366">
        <v>7</v>
      </c>
      <c r="G32" s="366">
        <v>126</v>
      </c>
      <c r="H32" s="366">
        <v>85</v>
      </c>
      <c r="I32" s="699">
        <v>391</v>
      </c>
    </row>
    <row r="33" spans="2:9" ht="20.100000000000001" customHeight="1">
      <c r="B33" s="363" t="s">
        <v>488</v>
      </c>
      <c r="C33" s="661" t="s">
        <v>14</v>
      </c>
      <c r="D33" s="366" t="s">
        <v>14</v>
      </c>
      <c r="E33" s="366" t="s">
        <v>14</v>
      </c>
      <c r="F33" s="366" t="s">
        <v>14</v>
      </c>
      <c r="G33" s="366">
        <v>874</v>
      </c>
      <c r="H33" s="366" t="s">
        <v>14</v>
      </c>
      <c r="I33" s="699">
        <v>874</v>
      </c>
    </row>
    <row r="34" spans="2:9" ht="20.100000000000001" customHeight="1">
      <c r="B34" s="363" t="s">
        <v>487</v>
      </c>
      <c r="C34" s="661">
        <v>-80</v>
      </c>
      <c r="D34" s="366">
        <v>-7</v>
      </c>
      <c r="E34" s="366" t="s">
        <v>14</v>
      </c>
      <c r="F34" s="366" t="s">
        <v>14</v>
      </c>
      <c r="G34" s="366">
        <v>-101</v>
      </c>
      <c r="H34" s="366" t="s">
        <v>14</v>
      </c>
      <c r="I34" s="699">
        <v>-188</v>
      </c>
    </row>
    <row r="35" spans="2:9" ht="20.100000000000001" customHeight="1">
      <c r="B35" s="365" t="s">
        <v>486</v>
      </c>
      <c r="C35" s="664">
        <v>-498</v>
      </c>
      <c r="D35" s="367">
        <v>-1</v>
      </c>
      <c r="E35" s="367">
        <v>-220</v>
      </c>
      <c r="F35" s="367">
        <v>-111</v>
      </c>
      <c r="G35" s="367">
        <v>-343</v>
      </c>
      <c r="H35" s="367">
        <v>-494</v>
      </c>
      <c r="I35" s="698">
        <v>-1667</v>
      </c>
    </row>
    <row r="36" spans="2:9" ht="20.100000000000001" customHeight="1">
      <c r="B36" s="679" t="s">
        <v>491</v>
      </c>
      <c r="C36" s="687">
        <v>4208</v>
      </c>
      <c r="D36" s="676">
        <v>5</v>
      </c>
      <c r="E36" s="676">
        <v>2584</v>
      </c>
      <c r="F36" s="676">
        <v>1297</v>
      </c>
      <c r="G36" s="676">
        <v>4204</v>
      </c>
      <c r="H36" s="676">
        <v>4265</v>
      </c>
      <c r="I36" s="727">
        <v>16563</v>
      </c>
    </row>
    <row r="37" spans="2:9" ht="19.5" customHeight="1">
      <c r="B37" s="363" t="s">
        <v>490</v>
      </c>
      <c r="C37" s="661">
        <v>434</v>
      </c>
      <c r="D37" s="366">
        <v>2</v>
      </c>
      <c r="E37" s="366">
        <v>52</v>
      </c>
      <c r="F37" s="366">
        <v>-44</v>
      </c>
      <c r="G37" s="366">
        <v>-21</v>
      </c>
      <c r="H37" s="366">
        <v>233</v>
      </c>
      <c r="I37" s="699">
        <v>656</v>
      </c>
    </row>
    <row r="38" spans="2:9" ht="20.100000000000001" customHeight="1">
      <c r="B38" s="363" t="s">
        <v>489</v>
      </c>
      <c r="C38" s="661" t="s">
        <v>468</v>
      </c>
      <c r="D38" s="366" t="s">
        <v>468</v>
      </c>
      <c r="E38" s="366">
        <v>53</v>
      </c>
      <c r="F38" s="366">
        <v>131</v>
      </c>
      <c r="G38" s="366">
        <v>323</v>
      </c>
      <c r="H38" s="366">
        <v>35</v>
      </c>
      <c r="I38" s="699">
        <v>542</v>
      </c>
    </row>
    <row r="39" spans="2:9" ht="20.100000000000001" customHeight="1">
      <c r="B39" s="363" t="s">
        <v>488</v>
      </c>
      <c r="C39" s="661">
        <v>34</v>
      </c>
      <c r="D39" s="366" t="s">
        <v>468</v>
      </c>
      <c r="E39" s="366" t="s">
        <v>468</v>
      </c>
      <c r="F39" s="366" t="s">
        <v>468</v>
      </c>
      <c r="G39" s="366" t="s">
        <v>468</v>
      </c>
      <c r="H39" s="366" t="s">
        <v>468</v>
      </c>
      <c r="I39" s="699">
        <v>34</v>
      </c>
    </row>
    <row r="40" spans="2:9" ht="20.100000000000001" customHeight="1">
      <c r="B40" s="363" t="s">
        <v>487</v>
      </c>
      <c r="C40" s="661">
        <v>-49</v>
      </c>
      <c r="D40" s="366" t="s">
        <v>468</v>
      </c>
      <c r="E40" s="366">
        <v>-10</v>
      </c>
      <c r="F40" s="366" t="s">
        <v>468</v>
      </c>
      <c r="G40" s="366" t="s">
        <v>468</v>
      </c>
      <c r="H40" s="366" t="s">
        <v>468</v>
      </c>
      <c r="I40" s="699">
        <v>-59</v>
      </c>
    </row>
    <row r="41" spans="2:9" ht="20.100000000000001" customHeight="1">
      <c r="B41" s="365" t="s">
        <v>486</v>
      </c>
      <c r="C41" s="664">
        <v>-495</v>
      </c>
      <c r="D41" s="367" t="s">
        <v>468</v>
      </c>
      <c r="E41" s="367">
        <v>-248</v>
      </c>
      <c r="F41" s="367">
        <v>-94</v>
      </c>
      <c r="G41" s="367">
        <v>-440</v>
      </c>
      <c r="H41" s="367">
        <v>-455</v>
      </c>
      <c r="I41" s="698">
        <v>-1732</v>
      </c>
    </row>
    <row r="42" spans="2:9" ht="20.100000000000001" customHeight="1">
      <c r="B42" s="647" t="s">
        <v>485</v>
      </c>
      <c r="C42" s="586">
        <v>4132</v>
      </c>
      <c r="D42" s="585">
        <v>7</v>
      </c>
      <c r="E42" s="585">
        <v>2431</v>
      </c>
      <c r="F42" s="585">
        <v>1290</v>
      </c>
      <c r="G42" s="585">
        <v>4066</v>
      </c>
      <c r="H42" s="585">
        <v>4078</v>
      </c>
      <c r="I42" s="697">
        <v>16004</v>
      </c>
    </row>
    <row r="43" spans="2:9" ht="33" customHeight="1">
      <c r="B43" s="1196" t="s">
        <v>504</v>
      </c>
      <c r="C43" s="1197"/>
      <c r="D43" s="461"/>
      <c r="E43" s="461"/>
      <c r="F43" s="461"/>
      <c r="G43" s="461"/>
      <c r="H43" s="461"/>
      <c r="I43" s="461"/>
    </row>
    <row r="44" spans="2:9" ht="20.100000000000001" customHeight="1">
      <c r="B44" s="648" t="s">
        <v>503</v>
      </c>
      <c r="C44" s="342" t="s">
        <v>14</v>
      </c>
      <c r="D44" s="342" t="s">
        <v>14</v>
      </c>
      <c r="E44" s="342">
        <v>57</v>
      </c>
      <c r="F44" s="342" t="s">
        <v>14</v>
      </c>
      <c r="G44" s="342" t="s">
        <v>14</v>
      </c>
      <c r="H44" s="342" t="s">
        <v>14</v>
      </c>
      <c r="I44" s="699">
        <v>57</v>
      </c>
    </row>
    <row r="45" spans="2:9" ht="20.100000000000001" customHeight="1">
      <c r="B45" s="648" t="s">
        <v>502</v>
      </c>
      <c r="C45" s="342" t="s">
        <v>14</v>
      </c>
      <c r="D45" s="342" t="s">
        <v>14</v>
      </c>
      <c r="E45" s="342">
        <v>87</v>
      </c>
      <c r="F45" s="342" t="s">
        <v>14</v>
      </c>
      <c r="G45" s="342" t="s">
        <v>14</v>
      </c>
      <c r="H45" s="342" t="s">
        <v>14</v>
      </c>
      <c r="I45" s="699">
        <v>87</v>
      </c>
    </row>
    <row r="46" spans="2:9" ht="20.100000000000001" customHeight="1">
      <c r="B46" s="648" t="s">
        <v>501</v>
      </c>
      <c r="C46" s="342" t="s">
        <v>14</v>
      </c>
      <c r="D46" s="342" t="s">
        <v>14</v>
      </c>
      <c r="E46" s="342">
        <v>91</v>
      </c>
      <c r="F46" s="342" t="s">
        <v>14</v>
      </c>
      <c r="G46" s="342" t="s">
        <v>14</v>
      </c>
      <c r="H46" s="342" t="s">
        <v>14</v>
      </c>
      <c r="I46" s="699">
        <v>91</v>
      </c>
    </row>
    <row r="47" spans="2:9" ht="20.100000000000001" customHeight="1">
      <c r="B47" s="648" t="s">
        <v>500</v>
      </c>
      <c r="C47" s="342" t="s">
        <v>14</v>
      </c>
      <c r="D47" s="342" t="s">
        <v>505</v>
      </c>
      <c r="E47" s="342">
        <v>64</v>
      </c>
      <c r="F47" s="342" t="s">
        <v>14</v>
      </c>
      <c r="G47" s="342" t="s">
        <v>14</v>
      </c>
      <c r="H47" s="342" t="s">
        <v>14</v>
      </c>
      <c r="I47" s="699">
        <v>64</v>
      </c>
    </row>
    <row r="48" spans="2:9" ht="20.100000000000001" customHeight="1">
      <c r="B48" s="648" t="s">
        <v>499</v>
      </c>
      <c r="C48" s="342" t="s">
        <v>14</v>
      </c>
      <c r="D48" s="342" t="s">
        <v>505</v>
      </c>
      <c r="E48" s="342">
        <v>48</v>
      </c>
      <c r="F48" s="342" t="s">
        <v>14</v>
      </c>
      <c r="G48" s="342" t="s">
        <v>14</v>
      </c>
      <c r="H48" s="342" t="s">
        <v>14</v>
      </c>
      <c r="I48" s="699">
        <v>48</v>
      </c>
    </row>
    <row r="49" spans="2:9" ht="20.100000000000001" customHeight="1">
      <c r="B49" s="750" t="s">
        <v>498</v>
      </c>
      <c r="C49" s="586" t="s">
        <v>14</v>
      </c>
      <c r="D49" s="585" t="s">
        <v>14</v>
      </c>
      <c r="E49" s="585">
        <v>44</v>
      </c>
      <c r="F49" s="585" t="s">
        <v>14</v>
      </c>
      <c r="G49" s="585" t="s">
        <v>14</v>
      </c>
      <c r="H49" s="585" t="s">
        <v>14</v>
      </c>
      <c r="I49" s="749">
        <v>44</v>
      </c>
    </row>
    <row r="51" spans="2:9" ht="20.100000000000001" customHeight="1">
      <c r="B51" s="696" t="s">
        <v>537</v>
      </c>
      <c r="C51" s="1192" t="s">
        <v>469</v>
      </c>
      <c r="D51" s="1192"/>
      <c r="E51" s="1192"/>
      <c r="F51" s="1192"/>
      <c r="G51" s="1192"/>
      <c r="H51" s="1192"/>
      <c r="I51" s="1192"/>
    </row>
    <row r="52" spans="2:9" ht="52.5" customHeight="1">
      <c r="B52" s="695" t="s">
        <v>473</v>
      </c>
      <c r="C52" s="694" t="s">
        <v>482</v>
      </c>
      <c r="D52" s="693" t="s">
        <v>421</v>
      </c>
      <c r="E52" s="694" t="s">
        <v>481</v>
      </c>
      <c r="F52" s="694" t="s">
        <v>480</v>
      </c>
      <c r="G52" s="694" t="s">
        <v>443</v>
      </c>
      <c r="H52" s="693" t="s">
        <v>434</v>
      </c>
      <c r="I52" s="693" t="s">
        <v>36</v>
      </c>
    </row>
    <row r="53" spans="2:9" ht="18.95" customHeight="1">
      <c r="B53" s="433" t="s">
        <v>497</v>
      </c>
      <c r="C53" s="687" t="s">
        <v>14</v>
      </c>
      <c r="D53" s="676">
        <v>3698</v>
      </c>
      <c r="E53" s="676">
        <v>363</v>
      </c>
      <c r="F53" s="676">
        <v>5802</v>
      </c>
      <c r="G53" s="676">
        <v>79</v>
      </c>
      <c r="H53" s="676" t="s">
        <v>14</v>
      </c>
      <c r="I53" s="727">
        <v>9942</v>
      </c>
    </row>
    <row r="54" spans="2:9" ht="18.95" customHeight="1">
      <c r="B54" s="363" t="s">
        <v>490</v>
      </c>
      <c r="C54" s="661" t="s">
        <v>14</v>
      </c>
      <c r="D54" s="366">
        <v>366</v>
      </c>
      <c r="E54" s="366">
        <v>-21</v>
      </c>
      <c r="F54" s="366">
        <v>-4</v>
      </c>
      <c r="G54" s="366">
        <v>5</v>
      </c>
      <c r="H54" s="366" t="s">
        <v>14</v>
      </c>
      <c r="I54" s="699">
        <v>346</v>
      </c>
    </row>
    <row r="55" spans="2:9" ht="18.95" customHeight="1">
      <c r="B55" s="363" t="s">
        <v>489</v>
      </c>
      <c r="C55" s="661" t="s">
        <v>14</v>
      </c>
      <c r="D55" s="366">
        <v>578</v>
      </c>
      <c r="E55" s="366" t="s">
        <v>14</v>
      </c>
      <c r="F55" s="366" t="s">
        <v>14</v>
      </c>
      <c r="G55" s="366" t="s">
        <v>14</v>
      </c>
      <c r="H55" s="366" t="s">
        <v>14</v>
      </c>
      <c r="I55" s="699">
        <v>578</v>
      </c>
    </row>
    <row r="56" spans="2:9" ht="18.95" customHeight="1">
      <c r="B56" s="363" t="s">
        <v>488</v>
      </c>
      <c r="C56" s="661" t="s">
        <v>14</v>
      </c>
      <c r="D56" s="366">
        <v>568</v>
      </c>
      <c r="E56" s="366" t="s">
        <v>14</v>
      </c>
      <c r="F56" s="366" t="s">
        <v>14</v>
      </c>
      <c r="G56" s="366" t="s">
        <v>14</v>
      </c>
      <c r="H56" s="366" t="s">
        <v>14</v>
      </c>
      <c r="I56" s="699">
        <v>568</v>
      </c>
    </row>
    <row r="57" spans="2:9" ht="18.95" customHeight="1">
      <c r="B57" s="363" t="s">
        <v>487</v>
      </c>
      <c r="C57" s="661" t="s">
        <v>14</v>
      </c>
      <c r="D57" s="366" t="s">
        <v>14</v>
      </c>
      <c r="E57" s="366" t="s">
        <v>14</v>
      </c>
      <c r="F57" s="366" t="s">
        <v>14</v>
      </c>
      <c r="G57" s="366" t="s">
        <v>14</v>
      </c>
      <c r="H57" s="366" t="s">
        <v>14</v>
      </c>
      <c r="I57" s="699" t="s">
        <v>14</v>
      </c>
    </row>
    <row r="58" spans="2:9" ht="18.95" customHeight="1">
      <c r="B58" s="365" t="s">
        <v>486</v>
      </c>
      <c r="C58" s="664" t="s">
        <v>14</v>
      </c>
      <c r="D58" s="367">
        <v>-304</v>
      </c>
      <c r="E58" s="367">
        <v>-1</v>
      </c>
      <c r="F58" s="367">
        <v>-287</v>
      </c>
      <c r="G58" s="367">
        <v>-2</v>
      </c>
      <c r="H58" s="367" t="s">
        <v>14</v>
      </c>
      <c r="I58" s="698">
        <v>-594</v>
      </c>
    </row>
    <row r="59" spans="2:9" ht="20.100000000000001" customHeight="1">
      <c r="B59" s="433" t="s">
        <v>496</v>
      </c>
      <c r="C59" s="687" t="s">
        <v>14</v>
      </c>
      <c r="D59" s="676">
        <v>4906</v>
      </c>
      <c r="E59" s="676">
        <v>341</v>
      </c>
      <c r="F59" s="676">
        <v>5511</v>
      </c>
      <c r="G59" s="676">
        <v>82</v>
      </c>
      <c r="H59" s="676" t="s">
        <v>14</v>
      </c>
      <c r="I59" s="727">
        <v>10840</v>
      </c>
    </row>
    <row r="60" spans="2:9" ht="20.100000000000001" customHeight="1">
      <c r="B60" s="363" t="s">
        <v>490</v>
      </c>
      <c r="C60" s="661" t="s">
        <v>14</v>
      </c>
      <c r="D60" s="366">
        <v>191</v>
      </c>
      <c r="E60" s="366">
        <v>8</v>
      </c>
      <c r="F60" s="366">
        <v>16</v>
      </c>
      <c r="G60" s="366">
        <v>-18</v>
      </c>
      <c r="H60" s="366" t="s">
        <v>14</v>
      </c>
      <c r="I60" s="699">
        <v>197</v>
      </c>
    </row>
    <row r="61" spans="2:9" ht="20.100000000000001" customHeight="1">
      <c r="B61" s="363" t="s">
        <v>489</v>
      </c>
      <c r="C61" s="661" t="s">
        <v>14</v>
      </c>
      <c r="D61" s="366">
        <v>3209</v>
      </c>
      <c r="E61" s="366" t="s">
        <v>14</v>
      </c>
      <c r="F61" s="366">
        <v>77</v>
      </c>
      <c r="G61" s="366" t="s">
        <v>14</v>
      </c>
      <c r="H61" s="366" t="s">
        <v>14</v>
      </c>
      <c r="I61" s="699">
        <v>3286</v>
      </c>
    </row>
    <row r="62" spans="2:9" ht="20.100000000000001" customHeight="1">
      <c r="B62" s="363" t="s">
        <v>488</v>
      </c>
      <c r="C62" s="661" t="s">
        <v>14</v>
      </c>
      <c r="D62" s="366">
        <v>553</v>
      </c>
      <c r="E62" s="366" t="s">
        <v>14</v>
      </c>
      <c r="F62" s="366" t="s">
        <v>14</v>
      </c>
      <c r="G62" s="366" t="s">
        <v>14</v>
      </c>
      <c r="H62" s="366" t="s">
        <v>14</v>
      </c>
      <c r="I62" s="699">
        <v>553</v>
      </c>
    </row>
    <row r="63" spans="2:9" ht="20.100000000000001" customHeight="1">
      <c r="B63" s="363" t="s">
        <v>487</v>
      </c>
      <c r="C63" s="661" t="s">
        <v>14</v>
      </c>
      <c r="D63" s="366">
        <v>-485</v>
      </c>
      <c r="E63" s="366" t="s">
        <v>14</v>
      </c>
      <c r="F63" s="366" t="s">
        <v>14</v>
      </c>
      <c r="G63" s="366" t="s">
        <v>14</v>
      </c>
      <c r="H63" s="366" t="s">
        <v>14</v>
      </c>
      <c r="I63" s="699">
        <v>-485</v>
      </c>
    </row>
    <row r="64" spans="2:9" ht="20.100000000000001" customHeight="1">
      <c r="B64" s="365" t="s">
        <v>486</v>
      </c>
      <c r="C64" s="664" t="s">
        <v>14</v>
      </c>
      <c r="D64" s="367">
        <v>-345</v>
      </c>
      <c r="E64" s="367">
        <v>-6</v>
      </c>
      <c r="F64" s="367">
        <v>-354</v>
      </c>
      <c r="G64" s="367">
        <v>-2</v>
      </c>
      <c r="H64" s="367" t="s">
        <v>14</v>
      </c>
      <c r="I64" s="698">
        <v>-707</v>
      </c>
    </row>
    <row r="65" spans="2:16" ht="20.100000000000001" customHeight="1">
      <c r="B65" s="433" t="s">
        <v>536</v>
      </c>
      <c r="C65" s="687" t="s">
        <v>14</v>
      </c>
      <c r="D65" s="676">
        <v>8029</v>
      </c>
      <c r="E65" s="676">
        <v>343</v>
      </c>
      <c r="F65" s="676">
        <v>5250</v>
      </c>
      <c r="G65" s="676">
        <v>62</v>
      </c>
      <c r="H65" s="676" t="s">
        <v>14</v>
      </c>
      <c r="I65" s="727">
        <v>13684</v>
      </c>
    </row>
    <row r="66" spans="2:16" ht="20.100000000000001" customHeight="1">
      <c r="B66" s="363" t="s">
        <v>490</v>
      </c>
      <c r="C66" s="661" t="s">
        <v>14</v>
      </c>
      <c r="D66" s="366">
        <v>50</v>
      </c>
      <c r="E66" s="366">
        <v>17</v>
      </c>
      <c r="F66" s="366">
        <v>-25</v>
      </c>
      <c r="G66" s="366">
        <v>2</v>
      </c>
      <c r="H66" s="366" t="s">
        <v>14</v>
      </c>
      <c r="I66" s="699">
        <v>44</v>
      </c>
    </row>
    <row r="67" spans="2:16" ht="20.100000000000001" customHeight="1">
      <c r="B67" s="363" t="s">
        <v>489</v>
      </c>
      <c r="C67" s="661" t="s">
        <v>14</v>
      </c>
      <c r="D67" s="366">
        <v>2328</v>
      </c>
      <c r="E67" s="366" t="s">
        <v>14</v>
      </c>
      <c r="F67" s="366" t="s">
        <v>14</v>
      </c>
      <c r="G67" s="366" t="s">
        <v>14</v>
      </c>
      <c r="H67" s="366" t="s">
        <v>14</v>
      </c>
      <c r="I67" s="699">
        <v>2328</v>
      </c>
    </row>
    <row r="68" spans="2:16" ht="20.100000000000001" customHeight="1">
      <c r="B68" s="363" t="s">
        <v>488</v>
      </c>
      <c r="C68" s="661" t="s">
        <v>14</v>
      </c>
      <c r="D68" s="366">
        <v>521</v>
      </c>
      <c r="E68" s="366" t="s">
        <v>14</v>
      </c>
      <c r="F68" s="366" t="s">
        <v>14</v>
      </c>
      <c r="G68" s="366" t="s">
        <v>14</v>
      </c>
      <c r="H68" s="366" t="s">
        <v>14</v>
      </c>
      <c r="I68" s="699">
        <v>521</v>
      </c>
    </row>
    <row r="69" spans="2:16" ht="20.100000000000001" customHeight="1">
      <c r="B69" s="363" t="s">
        <v>487</v>
      </c>
      <c r="C69" s="661" t="s">
        <v>14</v>
      </c>
      <c r="D69" s="366">
        <v>-28</v>
      </c>
      <c r="E69" s="366" t="s">
        <v>14</v>
      </c>
      <c r="F69" s="366" t="s">
        <v>14</v>
      </c>
      <c r="G69" s="366" t="s">
        <v>14</v>
      </c>
      <c r="H69" s="366" t="s">
        <v>14</v>
      </c>
      <c r="I69" s="699">
        <v>-28</v>
      </c>
    </row>
    <row r="70" spans="2:16" ht="20.100000000000001" customHeight="1">
      <c r="B70" s="365" t="s">
        <v>486</v>
      </c>
      <c r="C70" s="664" t="s">
        <v>14</v>
      </c>
      <c r="D70" s="367">
        <v>-392</v>
      </c>
      <c r="E70" s="367">
        <v>-4</v>
      </c>
      <c r="F70" s="367">
        <v>-328</v>
      </c>
      <c r="G70" s="367">
        <v>-2</v>
      </c>
      <c r="H70" s="367" t="s">
        <v>14</v>
      </c>
      <c r="I70" s="698">
        <v>-726</v>
      </c>
    </row>
    <row r="71" spans="2:16" ht="20.100000000000001" customHeight="1">
      <c r="B71" s="433" t="s">
        <v>494</v>
      </c>
      <c r="C71" s="687" t="s">
        <v>14</v>
      </c>
      <c r="D71" s="676">
        <v>10508</v>
      </c>
      <c r="E71" s="676">
        <v>356</v>
      </c>
      <c r="F71" s="676">
        <v>4897</v>
      </c>
      <c r="G71" s="676">
        <v>62</v>
      </c>
      <c r="H71" s="676" t="s">
        <v>14</v>
      </c>
      <c r="I71" s="727">
        <v>15823</v>
      </c>
    </row>
    <row r="72" spans="2:16" ht="20.100000000000001" customHeight="1">
      <c r="B72" s="363" t="s">
        <v>490</v>
      </c>
      <c r="C72" s="661" t="s">
        <v>14</v>
      </c>
      <c r="D72" s="366">
        <v>337</v>
      </c>
      <c r="E72" s="366">
        <v>-45</v>
      </c>
      <c r="F72" s="366">
        <v>6</v>
      </c>
      <c r="G72" s="366">
        <v>-11</v>
      </c>
      <c r="H72" s="366" t="s">
        <v>14</v>
      </c>
      <c r="I72" s="699">
        <v>287</v>
      </c>
    </row>
    <row r="73" spans="2:16" s="435" customFormat="1" ht="30.95" customHeight="1">
      <c r="B73" s="363" t="s">
        <v>489</v>
      </c>
      <c r="C73" s="661" t="s">
        <v>14</v>
      </c>
      <c r="D73" s="366" t="s">
        <v>14</v>
      </c>
      <c r="E73" s="366" t="s">
        <v>14</v>
      </c>
      <c r="F73" s="366" t="s">
        <v>14</v>
      </c>
      <c r="G73" s="366" t="s">
        <v>14</v>
      </c>
      <c r="H73" s="366" t="s">
        <v>14</v>
      </c>
      <c r="I73" s="699" t="s">
        <v>14</v>
      </c>
      <c r="O73" s="468"/>
      <c r="P73" s="468"/>
    </row>
    <row r="74" spans="2:16" ht="20.100000000000001" customHeight="1">
      <c r="B74" s="363" t="s">
        <v>488</v>
      </c>
      <c r="C74" s="661" t="s">
        <v>14</v>
      </c>
      <c r="D74" s="366">
        <v>267</v>
      </c>
      <c r="E74" s="366" t="s">
        <v>14</v>
      </c>
      <c r="F74" s="366" t="s">
        <v>14</v>
      </c>
      <c r="G74" s="366" t="s">
        <v>14</v>
      </c>
      <c r="H74" s="366" t="s">
        <v>14</v>
      </c>
      <c r="I74" s="699">
        <v>267</v>
      </c>
    </row>
    <row r="75" spans="2:16" ht="20.100000000000001" customHeight="1">
      <c r="B75" s="363" t="s">
        <v>487</v>
      </c>
      <c r="C75" s="661" t="s">
        <v>14</v>
      </c>
      <c r="D75" s="366">
        <v>-52</v>
      </c>
      <c r="E75" s="366" t="s">
        <v>14</v>
      </c>
      <c r="F75" s="366" t="s">
        <v>14</v>
      </c>
      <c r="G75" s="366" t="s">
        <v>14</v>
      </c>
      <c r="H75" s="366" t="s">
        <v>14</v>
      </c>
      <c r="I75" s="699">
        <v>-52</v>
      </c>
    </row>
    <row r="76" spans="2:16" ht="20.100000000000001" customHeight="1">
      <c r="B76" s="365" t="s">
        <v>486</v>
      </c>
      <c r="C76" s="664" t="s">
        <v>14</v>
      </c>
      <c r="D76" s="367">
        <v>-456</v>
      </c>
      <c r="E76" s="367" t="s">
        <v>14</v>
      </c>
      <c r="F76" s="367">
        <v>-208</v>
      </c>
      <c r="G76" s="367">
        <v>-3</v>
      </c>
      <c r="H76" s="367" t="s">
        <v>14</v>
      </c>
      <c r="I76" s="698">
        <v>-667</v>
      </c>
    </row>
    <row r="77" spans="2:16" ht="20.100000000000001" customHeight="1">
      <c r="B77" s="433" t="s">
        <v>492</v>
      </c>
      <c r="C77" s="687" t="s">
        <v>14</v>
      </c>
      <c r="D77" s="676">
        <v>10604</v>
      </c>
      <c r="E77" s="676">
        <v>311</v>
      </c>
      <c r="F77" s="676">
        <v>4695</v>
      </c>
      <c r="G77" s="676">
        <v>48</v>
      </c>
      <c r="H77" s="676" t="s">
        <v>14</v>
      </c>
      <c r="I77" s="727">
        <v>15658</v>
      </c>
    </row>
    <row r="78" spans="2:16" ht="20.100000000000001" customHeight="1">
      <c r="B78" s="363" t="s">
        <v>490</v>
      </c>
      <c r="C78" s="661" t="s">
        <v>14</v>
      </c>
      <c r="D78" s="366">
        <v>-132</v>
      </c>
      <c r="E78" s="366">
        <v>-3</v>
      </c>
      <c r="F78" s="366">
        <v>51</v>
      </c>
      <c r="G78" s="366">
        <v>-1</v>
      </c>
      <c r="H78" s="366" t="s">
        <v>14</v>
      </c>
      <c r="I78" s="699">
        <v>-85</v>
      </c>
    </row>
    <row r="79" spans="2:16" ht="20.100000000000001" customHeight="1">
      <c r="B79" s="363" t="s">
        <v>489</v>
      </c>
      <c r="C79" s="661" t="s">
        <v>14</v>
      </c>
      <c r="D79" s="366">
        <v>1717</v>
      </c>
      <c r="E79" s="366" t="s">
        <v>14</v>
      </c>
      <c r="F79" s="366" t="s">
        <v>14</v>
      </c>
      <c r="G79" s="366" t="s">
        <v>14</v>
      </c>
      <c r="H79" s="366" t="s">
        <v>14</v>
      </c>
      <c r="I79" s="699">
        <v>1717</v>
      </c>
    </row>
    <row r="80" spans="2:16" ht="20.100000000000001" customHeight="1">
      <c r="B80" s="363" t="s">
        <v>488</v>
      </c>
      <c r="C80" s="661" t="s">
        <v>14</v>
      </c>
      <c r="D80" s="366" t="s">
        <v>14</v>
      </c>
      <c r="E80" s="366" t="s">
        <v>14</v>
      </c>
      <c r="F80" s="366">
        <v>132</v>
      </c>
      <c r="G80" s="366" t="s">
        <v>14</v>
      </c>
      <c r="H80" s="366" t="s">
        <v>14</v>
      </c>
      <c r="I80" s="699">
        <v>132</v>
      </c>
    </row>
    <row r="81" spans="2:16" ht="20.100000000000001" customHeight="1">
      <c r="B81" s="363" t="s">
        <v>487</v>
      </c>
      <c r="C81" s="661" t="s">
        <v>14</v>
      </c>
      <c r="D81" s="366">
        <v>-308</v>
      </c>
      <c r="E81" s="366" t="s">
        <v>14</v>
      </c>
      <c r="F81" s="366" t="s">
        <v>14</v>
      </c>
      <c r="G81" s="366" t="s">
        <v>14</v>
      </c>
      <c r="H81" s="366" t="s">
        <v>14</v>
      </c>
      <c r="I81" s="699">
        <v>-308</v>
      </c>
    </row>
    <row r="82" spans="2:16" ht="20.100000000000001" customHeight="1">
      <c r="B82" s="365" t="s">
        <v>486</v>
      </c>
      <c r="C82" s="664" t="s">
        <v>14</v>
      </c>
      <c r="D82" s="367">
        <v>-503</v>
      </c>
      <c r="E82" s="367">
        <v>-7</v>
      </c>
      <c r="F82" s="367">
        <v>-181</v>
      </c>
      <c r="G82" s="367">
        <v>-2</v>
      </c>
      <c r="H82" s="367" t="s">
        <v>14</v>
      </c>
      <c r="I82" s="698">
        <v>-693</v>
      </c>
      <c r="O82" s="435"/>
      <c r="P82" s="435"/>
    </row>
    <row r="83" spans="2:16" ht="20.100000000000001" customHeight="1">
      <c r="B83" s="433" t="s">
        <v>491</v>
      </c>
      <c r="C83" s="687" t="s">
        <v>14</v>
      </c>
      <c r="D83" s="676">
        <v>11378</v>
      </c>
      <c r="E83" s="676">
        <v>301</v>
      </c>
      <c r="F83" s="676">
        <v>4697</v>
      </c>
      <c r="G83" s="676">
        <v>45</v>
      </c>
      <c r="H83" s="676" t="s">
        <v>14</v>
      </c>
      <c r="I83" s="727">
        <v>16421</v>
      </c>
    </row>
    <row r="84" spans="2:16" ht="20.100000000000001" customHeight="1">
      <c r="B84" s="363" t="s">
        <v>490</v>
      </c>
      <c r="C84" s="661" t="s">
        <v>468</v>
      </c>
      <c r="D84" s="366">
        <v>3</v>
      </c>
      <c r="E84" s="366">
        <v>4</v>
      </c>
      <c r="F84" s="366">
        <v>3</v>
      </c>
      <c r="G84" s="366">
        <v>-1</v>
      </c>
      <c r="H84" s="366" t="s">
        <v>468</v>
      </c>
      <c r="I84" s="699">
        <v>9</v>
      </c>
    </row>
    <row r="85" spans="2:16" ht="20.100000000000001" customHeight="1">
      <c r="B85" s="363" t="s">
        <v>489</v>
      </c>
      <c r="C85" s="661" t="s">
        <v>468</v>
      </c>
      <c r="D85" s="366">
        <v>607</v>
      </c>
      <c r="E85" s="366" t="s">
        <v>468</v>
      </c>
      <c r="F85" s="366" t="s">
        <v>468</v>
      </c>
      <c r="G85" s="366" t="s">
        <v>468</v>
      </c>
      <c r="H85" s="366" t="s">
        <v>468</v>
      </c>
      <c r="I85" s="699">
        <v>607</v>
      </c>
    </row>
    <row r="86" spans="2:16" ht="20.100000000000001" customHeight="1">
      <c r="B86" s="363" t="s">
        <v>488</v>
      </c>
      <c r="C86" s="661" t="s">
        <v>468</v>
      </c>
      <c r="D86" s="366">
        <v>164</v>
      </c>
      <c r="E86" s="366" t="s">
        <v>468</v>
      </c>
      <c r="F86" s="366" t="s">
        <v>468</v>
      </c>
      <c r="G86" s="366" t="s">
        <v>468</v>
      </c>
      <c r="H86" s="366" t="s">
        <v>468</v>
      </c>
      <c r="I86" s="699">
        <v>164</v>
      </c>
    </row>
    <row r="87" spans="2:16" ht="20.100000000000001" customHeight="1">
      <c r="B87" s="363" t="s">
        <v>487</v>
      </c>
      <c r="C87" s="661" t="s">
        <v>468</v>
      </c>
      <c r="D87" s="366" t="s">
        <v>468</v>
      </c>
      <c r="E87" s="366" t="s">
        <v>468</v>
      </c>
      <c r="F87" s="366" t="s">
        <v>468</v>
      </c>
      <c r="G87" s="366" t="s">
        <v>468</v>
      </c>
      <c r="H87" s="366" t="s">
        <v>468</v>
      </c>
      <c r="I87" s="699" t="s">
        <v>468</v>
      </c>
    </row>
    <row r="88" spans="2:16" ht="20.100000000000001" customHeight="1">
      <c r="B88" s="365" t="s">
        <v>486</v>
      </c>
      <c r="C88" s="664" t="s">
        <v>468</v>
      </c>
      <c r="D88" s="367">
        <v>-481</v>
      </c>
      <c r="E88" s="367">
        <v>-29</v>
      </c>
      <c r="F88" s="367">
        <v>-187</v>
      </c>
      <c r="G88" s="367">
        <v>-2</v>
      </c>
      <c r="H88" s="367" t="s">
        <v>468</v>
      </c>
      <c r="I88" s="698">
        <v>-699</v>
      </c>
      <c r="O88" s="435"/>
      <c r="P88" s="435"/>
    </row>
    <row r="89" spans="2:16" ht="20.100000000000001" customHeight="1">
      <c r="B89" s="742" t="s">
        <v>485</v>
      </c>
      <c r="C89" s="586" t="s">
        <v>468</v>
      </c>
      <c r="D89" s="585">
        <v>11671</v>
      </c>
      <c r="E89" s="585">
        <v>276</v>
      </c>
      <c r="F89" s="585">
        <v>4513</v>
      </c>
      <c r="G89" s="585">
        <v>42</v>
      </c>
      <c r="H89" s="585" t="s">
        <v>468</v>
      </c>
      <c r="I89" s="697">
        <v>16502</v>
      </c>
    </row>
    <row r="91" spans="2:16" ht="20.100000000000001" customHeight="1">
      <c r="B91" s="696" t="s">
        <v>535</v>
      </c>
      <c r="C91" s="1192" t="s">
        <v>525</v>
      </c>
      <c r="D91" s="1192"/>
      <c r="E91" s="1192"/>
      <c r="F91" s="1192"/>
      <c r="G91" s="1192"/>
      <c r="H91" s="1192"/>
      <c r="I91" s="1192"/>
    </row>
    <row r="92" spans="2:16" ht="57" customHeight="1">
      <c r="B92" s="695" t="s">
        <v>473</v>
      </c>
      <c r="C92" s="694" t="s">
        <v>482</v>
      </c>
      <c r="D92" s="693" t="s">
        <v>421</v>
      </c>
      <c r="E92" s="694" t="s">
        <v>481</v>
      </c>
      <c r="F92" s="694" t="s">
        <v>480</v>
      </c>
      <c r="G92" s="694" t="s">
        <v>443</v>
      </c>
      <c r="H92" s="693" t="s">
        <v>434</v>
      </c>
      <c r="I92" s="693" t="s">
        <v>36</v>
      </c>
    </row>
    <row r="93" spans="2:16" ht="20.100000000000001" customHeight="1">
      <c r="B93" s="748" t="s">
        <v>479</v>
      </c>
      <c r="C93" s="688"/>
      <c r="D93" s="688"/>
      <c r="E93" s="688"/>
      <c r="F93" s="688"/>
      <c r="G93" s="688"/>
      <c r="H93" s="688"/>
      <c r="I93" s="688"/>
    </row>
    <row r="94" spans="2:16" ht="20.100000000000001" customHeight="1">
      <c r="B94" s="433" t="s">
        <v>473</v>
      </c>
      <c r="C94" s="687">
        <v>5655</v>
      </c>
      <c r="D94" s="676">
        <v>4923</v>
      </c>
      <c r="E94" s="676">
        <v>4731</v>
      </c>
      <c r="F94" s="676">
        <v>6959</v>
      </c>
      <c r="G94" s="676">
        <v>3773</v>
      </c>
      <c r="H94" s="676">
        <v>4836</v>
      </c>
      <c r="I94" s="727">
        <v>30877</v>
      </c>
    </row>
    <row r="95" spans="2:16" ht="20.100000000000001" customHeight="1">
      <c r="B95" s="363" t="s">
        <v>470</v>
      </c>
      <c r="C95" s="661">
        <v>5655</v>
      </c>
      <c r="D95" s="366">
        <v>17</v>
      </c>
      <c r="E95" s="366">
        <v>4390</v>
      </c>
      <c r="F95" s="366">
        <v>1448</v>
      </c>
      <c r="G95" s="366">
        <v>3691</v>
      </c>
      <c r="H95" s="366">
        <v>4836</v>
      </c>
      <c r="I95" s="699">
        <v>20037</v>
      </c>
    </row>
    <row r="96" spans="2:16" ht="20.100000000000001" customHeight="1">
      <c r="B96" s="365" t="s">
        <v>469</v>
      </c>
      <c r="C96" s="664" t="s">
        <v>14</v>
      </c>
      <c r="D96" s="367">
        <v>4906</v>
      </c>
      <c r="E96" s="367">
        <v>341</v>
      </c>
      <c r="F96" s="367">
        <v>5511</v>
      </c>
      <c r="G96" s="367">
        <v>82</v>
      </c>
      <c r="H96" s="367" t="s">
        <v>14</v>
      </c>
      <c r="I96" s="698">
        <v>10840</v>
      </c>
    </row>
    <row r="97" spans="2:9" ht="20.100000000000001" customHeight="1">
      <c r="B97" s="433" t="s">
        <v>472</v>
      </c>
      <c r="C97" s="687">
        <v>3156</v>
      </c>
      <c r="D97" s="676">
        <v>3602</v>
      </c>
      <c r="E97" s="676">
        <v>2063</v>
      </c>
      <c r="F97" s="676">
        <v>6785</v>
      </c>
      <c r="G97" s="676">
        <v>2356</v>
      </c>
      <c r="H97" s="676">
        <v>1284</v>
      </c>
      <c r="I97" s="727">
        <v>19246</v>
      </c>
    </row>
    <row r="98" spans="2:9" ht="20.100000000000001" customHeight="1">
      <c r="B98" s="363" t="s">
        <v>470</v>
      </c>
      <c r="C98" s="661">
        <v>3156</v>
      </c>
      <c r="D98" s="366">
        <v>13</v>
      </c>
      <c r="E98" s="366">
        <v>1981</v>
      </c>
      <c r="F98" s="366">
        <v>1369</v>
      </c>
      <c r="G98" s="366">
        <v>2316</v>
      </c>
      <c r="H98" s="366">
        <v>1284</v>
      </c>
      <c r="I98" s="699">
        <v>10119</v>
      </c>
    </row>
    <row r="99" spans="2:9" ht="20.100000000000001" customHeight="1">
      <c r="B99" s="365" t="s">
        <v>469</v>
      </c>
      <c r="C99" s="664" t="s">
        <v>14</v>
      </c>
      <c r="D99" s="367">
        <v>3589</v>
      </c>
      <c r="E99" s="367">
        <v>82</v>
      </c>
      <c r="F99" s="367">
        <v>5416</v>
      </c>
      <c r="G99" s="367">
        <v>40</v>
      </c>
      <c r="H99" s="367" t="s">
        <v>14</v>
      </c>
      <c r="I99" s="698">
        <v>9127</v>
      </c>
    </row>
    <row r="100" spans="2:9" ht="20.100000000000001" customHeight="1">
      <c r="B100" s="433" t="s">
        <v>471</v>
      </c>
      <c r="C100" s="687">
        <v>2499</v>
      </c>
      <c r="D100" s="676">
        <v>1321</v>
      </c>
      <c r="E100" s="676">
        <v>2668</v>
      </c>
      <c r="F100" s="676">
        <v>174</v>
      </c>
      <c r="G100" s="676">
        <v>1417</v>
      </c>
      <c r="H100" s="676">
        <v>3552</v>
      </c>
      <c r="I100" s="727">
        <v>11631</v>
      </c>
    </row>
    <row r="101" spans="2:9" ht="20.100000000000001" customHeight="1">
      <c r="B101" s="363" t="s">
        <v>470</v>
      </c>
      <c r="C101" s="661">
        <v>2499</v>
      </c>
      <c r="D101" s="366">
        <v>4</v>
      </c>
      <c r="E101" s="366">
        <v>2409</v>
      </c>
      <c r="F101" s="366">
        <v>79</v>
      </c>
      <c r="G101" s="366">
        <v>1375</v>
      </c>
      <c r="H101" s="366">
        <v>3552</v>
      </c>
      <c r="I101" s="699">
        <v>9918</v>
      </c>
    </row>
    <row r="102" spans="2:9" ht="20.100000000000001" customHeight="1">
      <c r="B102" s="659" t="s">
        <v>469</v>
      </c>
      <c r="C102" s="658" t="s">
        <v>14</v>
      </c>
      <c r="D102" s="657">
        <v>1317</v>
      </c>
      <c r="E102" s="657">
        <v>259</v>
      </c>
      <c r="F102" s="657">
        <v>95</v>
      </c>
      <c r="G102" s="657">
        <v>42</v>
      </c>
      <c r="H102" s="657" t="s">
        <v>14</v>
      </c>
      <c r="I102" s="720">
        <v>1713</v>
      </c>
    </row>
    <row r="103" spans="2:9" ht="20.100000000000001" customHeight="1">
      <c r="B103" s="745" t="s">
        <v>478</v>
      </c>
      <c r="C103" s="682"/>
      <c r="D103" s="682"/>
      <c r="E103" s="682"/>
      <c r="F103" s="682"/>
      <c r="G103" s="682"/>
      <c r="H103" s="682"/>
      <c r="I103" s="682"/>
    </row>
    <row r="104" spans="2:9" ht="20.100000000000001" customHeight="1">
      <c r="B104" s="431" t="s">
        <v>473</v>
      </c>
      <c r="C104" s="747">
        <v>6205</v>
      </c>
      <c r="D104" s="676">
        <v>8045</v>
      </c>
      <c r="E104" s="676">
        <v>3634</v>
      </c>
      <c r="F104" s="676">
        <v>6635</v>
      </c>
      <c r="G104" s="676">
        <v>3725</v>
      </c>
      <c r="H104" s="687">
        <v>4782</v>
      </c>
      <c r="I104" s="671">
        <v>33026</v>
      </c>
    </row>
    <row r="105" spans="2:9" ht="20.100000000000001" customHeight="1">
      <c r="B105" s="363" t="s">
        <v>470</v>
      </c>
      <c r="C105" s="661">
        <v>6205</v>
      </c>
      <c r="D105" s="366">
        <v>16</v>
      </c>
      <c r="E105" s="366">
        <v>3291</v>
      </c>
      <c r="F105" s="366">
        <v>1385</v>
      </c>
      <c r="G105" s="366">
        <v>3663</v>
      </c>
      <c r="H105" s="661">
        <v>4782</v>
      </c>
      <c r="I105" s="660">
        <v>19342</v>
      </c>
    </row>
    <row r="106" spans="2:9" ht="20.100000000000001" customHeight="1">
      <c r="B106" s="365" t="s">
        <v>469</v>
      </c>
      <c r="C106" s="664" t="s">
        <v>14</v>
      </c>
      <c r="D106" s="367">
        <v>8029</v>
      </c>
      <c r="E106" s="367">
        <v>343</v>
      </c>
      <c r="F106" s="367">
        <v>5250</v>
      </c>
      <c r="G106" s="367">
        <v>62</v>
      </c>
      <c r="H106" s="664" t="s">
        <v>14</v>
      </c>
      <c r="I106" s="663">
        <v>13684</v>
      </c>
    </row>
    <row r="107" spans="2:9" ht="20.100000000000001" customHeight="1">
      <c r="B107" s="433" t="s">
        <v>472</v>
      </c>
      <c r="C107" s="432">
        <v>3280</v>
      </c>
      <c r="D107" s="344">
        <v>3693</v>
      </c>
      <c r="E107" s="344">
        <v>1905</v>
      </c>
      <c r="F107" s="344">
        <v>6470</v>
      </c>
      <c r="G107" s="344">
        <v>2240</v>
      </c>
      <c r="H107" s="432">
        <v>1228</v>
      </c>
      <c r="I107" s="436">
        <v>18816</v>
      </c>
    </row>
    <row r="108" spans="2:9" ht="20.100000000000001" customHeight="1">
      <c r="B108" s="363" t="s">
        <v>470</v>
      </c>
      <c r="C108" s="661">
        <v>3280</v>
      </c>
      <c r="D108" s="366">
        <v>13</v>
      </c>
      <c r="E108" s="366">
        <v>1833</v>
      </c>
      <c r="F108" s="366">
        <v>1314</v>
      </c>
      <c r="G108" s="366">
        <v>2210</v>
      </c>
      <c r="H108" s="661">
        <v>1228</v>
      </c>
      <c r="I108" s="660">
        <v>9878</v>
      </c>
    </row>
    <row r="109" spans="2:9" ht="20.100000000000001" customHeight="1">
      <c r="B109" s="365" t="s">
        <v>469</v>
      </c>
      <c r="C109" s="664" t="s">
        <v>14</v>
      </c>
      <c r="D109" s="367">
        <v>3680</v>
      </c>
      <c r="E109" s="367">
        <v>72</v>
      </c>
      <c r="F109" s="367">
        <v>5156</v>
      </c>
      <c r="G109" s="367">
        <v>30</v>
      </c>
      <c r="H109" s="664" t="s">
        <v>14</v>
      </c>
      <c r="I109" s="663">
        <v>8938</v>
      </c>
    </row>
    <row r="110" spans="2:9" ht="20.100000000000001" customHeight="1">
      <c r="B110" s="433" t="s">
        <v>471</v>
      </c>
      <c r="C110" s="432">
        <v>2925</v>
      </c>
      <c r="D110" s="344">
        <v>4352</v>
      </c>
      <c r="E110" s="344">
        <v>1729</v>
      </c>
      <c r="F110" s="344">
        <v>165</v>
      </c>
      <c r="G110" s="344">
        <v>1485</v>
      </c>
      <c r="H110" s="432">
        <v>3554</v>
      </c>
      <c r="I110" s="436">
        <v>14210</v>
      </c>
    </row>
    <row r="111" spans="2:9" ht="20.100000000000001" customHeight="1">
      <c r="B111" s="363" t="s">
        <v>470</v>
      </c>
      <c r="C111" s="661">
        <v>2925</v>
      </c>
      <c r="D111" s="366">
        <v>3</v>
      </c>
      <c r="E111" s="366">
        <v>1458</v>
      </c>
      <c r="F111" s="366">
        <v>71</v>
      </c>
      <c r="G111" s="366">
        <v>1453</v>
      </c>
      <c r="H111" s="661">
        <v>3554</v>
      </c>
      <c r="I111" s="660">
        <v>9464</v>
      </c>
    </row>
    <row r="112" spans="2:9" ht="20.100000000000001" customHeight="1">
      <c r="B112" s="659" t="s">
        <v>469</v>
      </c>
      <c r="C112" s="658" t="s">
        <v>14</v>
      </c>
      <c r="D112" s="657">
        <v>4349</v>
      </c>
      <c r="E112" s="657">
        <v>271</v>
      </c>
      <c r="F112" s="657">
        <v>94</v>
      </c>
      <c r="G112" s="657">
        <v>32</v>
      </c>
      <c r="H112" s="658" t="s">
        <v>14</v>
      </c>
      <c r="I112" s="656">
        <v>4746</v>
      </c>
    </row>
    <row r="113" spans="2:9" ht="20.100000000000001" customHeight="1">
      <c r="B113" s="745" t="s">
        <v>477</v>
      </c>
      <c r="C113" s="682"/>
      <c r="D113" s="682"/>
      <c r="E113" s="682"/>
      <c r="F113" s="682"/>
      <c r="G113" s="682"/>
      <c r="H113" s="682"/>
      <c r="I113" s="682"/>
    </row>
    <row r="114" spans="2:9" ht="20.100000000000001" customHeight="1">
      <c r="B114" s="431" t="s">
        <v>473</v>
      </c>
      <c r="C114" s="747">
        <v>4934</v>
      </c>
      <c r="D114" s="676">
        <v>10523</v>
      </c>
      <c r="E114" s="676">
        <v>3559</v>
      </c>
      <c r="F114" s="676">
        <v>6197</v>
      </c>
      <c r="G114" s="676">
        <v>3755</v>
      </c>
      <c r="H114" s="687">
        <v>4622</v>
      </c>
      <c r="I114" s="671">
        <v>33590</v>
      </c>
    </row>
    <row r="115" spans="2:9" ht="20.100000000000001" customHeight="1">
      <c r="B115" s="363" t="s">
        <v>470</v>
      </c>
      <c r="C115" s="661">
        <v>4934</v>
      </c>
      <c r="D115" s="366">
        <v>15</v>
      </c>
      <c r="E115" s="366">
        <v>3203</v>
      </c>
      <c r="F115" s="366">
        <v>1300</v>
      </c>
      <c r="G115" s="366">
        <v>3693</v>
      </c>
      <c r="H115" s="661">
        <v>4622</v>
      </c>
      <c r="I115" s="660">
        <v>17767</v>
      </c>
    </row>
    <row r="116" spans="2:9" ht="20.100000000000001" customHeight="1">
      <c r="B116" s="365" t="s">
        <v>469</v>
      </c>
      <c r="C116" s="664" t="s">
        <v>14</v>
      </c>
      <c r="D116" s="367">
        <v>10508</v>
      </c>
      <c r="E116" s="367">
        <v>356</v>
      </c>
      <c r="F116" s="367">
        <v>4897</v>
      </c>
      <c r="G116" s="367">
        <v>62</v>
      </c>
      <c r="H116" s="664" t="s">
        <v>14</v>
      </c>
      <c r="I116" s="663">
        <v>15823</v>
      </c>
    </row>
    <row r="117" spans="2:9" ht="20.100000000000001" customHeight="1">
      <c r="B117" s="433" t="s">
        <v>472</v>
      </c>
      <c r="C117" s="432">
        <v>2914</v>
      </c>
      <c r="D117" s="344">
        <v>4958</v>
      </c>
      <c r="E117" s="344">
        <v>1939</v>
      </c>
      <c r="F117" s="344">
        <v>5946</v>
      </c>
      <c r="G117" s="344">
        <v>2167</v>
      </c>
      <c r="H117" s="432">
        <v>1109</v>
      </c>
      <c r="I117" s="436">
        <v>19033</v>
      </c>
    </row>
    <row r="118" spans="2:9" ht="20.100000000000001" customHeight="1">
      <c r="B118" s="363" t="s">
        <v>470</v>
      </c>
      <c r="C118" s="661">
        <v>2914</v>
      </c>
      <c r="D118" s="366">
        <v>9</v>
      </c>
      <c r="E118" s="366">
        <v>1871</v>
      </c>
      <c r="F118" s="366">
        <v>1224</v>
      </c>
      <c r="G118" s="366">
        <v>2145</v>
      </c>
      <c r="H118" s="661">
        <v>1109</v>
      </c>
      <c r="I118" s="660">
        <v>9272</v>
      </c>
    </row>
    <row r="119" spans="2:9" ht="20.100000000000001" customHeight="1">
      <c r="B119" s="365" t="s">
        <v>469</v>
      </c>
      <c r="C119" s="664" t="s">
        <v>14</v>
      </c>
      <c r="D119" s="367">
        <v>4949</v>
      </c>
      <c r="E119" s="367">
        <v>68</v>
      </c>
      <c r="F119" s="367">
        <v>4722</v>
      </c>
      <c r="G119" s="367">
        <v>22</v>
      </c>
      <c r="H119" s="664" t="s">
        <v>14</v>
      </c>
      <c r="I119" s="663">
        <v>9761</v>
      </c>
    </row>
    <row r="120" spans="2:9" ht="20.100000000000001" customHeight="1">
      <c r="B120" s="433" t="s">
        <v>471</v>
      </c>
      <c r="C120" s="432">
        <v>2020</v>
      </c>
      <c r="D120" s="344">
        <v>5565</v>
      </c>
      <c r="E120" s="344">
        <v>1620</v>
      </c>
      <c r="F120" s="344">
        <v>251</v>
      </c>
      <c r="G120" s="344">
        <v>1588</v>
      </c>
      <c r="H120" s="432">
        <v>3513</v>
      </c>
      <c r="I120" s="436">
        <v>14557</v>
      </c>
    </row>
    <row r="121" spans="2:9" ht="20.100000000000001" customHeight="1">
      <c r="B121" s="363" t="s">
        <v>470</v>
      </c>
      <c r="C121" s="661">
        <v>2020</v>
      </c>
      <c r="D121" s="366">
        <v>6</v>
      </c>
      <c r="E121" s="366">
        <v>1332</v>
      </c>
      <c r="F121" s="366">
        <v>76</v>
      </c>
      <c r="G121" s="366">
        <v>1548</v>
      </c>
      <c r="H121" s="661">
        <v>3513</v>
      </c>
      <c r="I121" s="660">
        <v>8495</v>
      </c>
    </row>
    <row r="122" spans="2:9" ht="20.100000000000001" customHeight="1">
      <c r="B122" s="659" t="s">
        <v>469</v>
      </c>
      <c r="C122" s="658" t="s">
        <v>14</v>
      </c>
      <c r="D122" s="657">
        <v>5559</v>
      </c>
      <c r="E122" s="657">
        <v>288</v>
      </c>
      <c r="F122" s="657">
        <v>175</v>
      </c>
      <c r="G122" s="657">
        <v>40</v>
      </c>
      <c r="H122" s="658" t="s">
        <v>14</v>
      </c>
      <c r="I122" s="656">
        <v>6062</v>
      </c>
    </row>
    <row r="123" spans="2:9" ht="20.100000000000001" customHeight="1">
      <c r="B123" s="745" t="s">
        <v>476</v>
      </c>
      <c r="C123" s="682"/>
      <c r="D123" s="682"/>
      <c r="E123" s="682"/>
      <c r="F123" s="682"/>
      <c r="G123" s="682"/>
      <c r="H123" s="682"/>
      <c r="I123" s="682"/>
    </row>
    <row r="124" spans="2:9" ht="20.100000000000001" customHeight="1">
      <c r="B124" s="431" t="s">
        <v>473</v>
      </c>
      <c r="C124" s="746">
        <v>4470</v>
      </c>
      <c r="D124" s="676">
        <v>10619</v>
      </c>
      <c r="E124" s="676">
        <v>3159</v>
      </c>
      <c r="F124" s="676">
        <v>6124</v>
      </c>
      <c r="G124" s="676">
        <v>3349</v>
      </c>
      <c r="H124" s="687">
        <v>4485</v>
      </c>
      <c r="I124" s="671">
        <v>32206</v>
      </c>
    </row>
    <row r="125" spans="2:9" ht="20.100000000000001" customHeight="1">
      <c r="B125" s="363" t="s">
        <v>470</v>
      </c>
      <c r="C125" s="661">
        <v>4470</v>
      </c>
      <c r="D125" s="366">
        <v>15</v>
      </c>
      <c r="E125" s="366">
        <v>2848</v>
      </c>
      <c r="F125" s="366">
        <v>1429</v>
      </c>
      <c r="G125" s="366">
        <v>3301</v>
      </c>
      <c r="H125" s="661">
        <v>4485</v>
      </c>
      <c r="I125" s="660">
        <v>16548</v>
      </c>
    </row>
    <row r="126" spans="2:9" ht="20.100000000000001" customHeight="1">
      <c r="B126" s="365" t="s">
        <v>469</v>
      </c>
      <c r="C126" s="664" t="s">
        <v>14</v>
      </c>
      <c r="D126" s="367">
        <v>10604</v>
      </c>
      <c r="E126" s="367">
        <v>311</v>
      </c>
      <c r="F126" s="367">
        <v>4695</v>
      </c>
      <c r="G126" s="367">
        <v>48</v>
      </c>
      <c r="H126" s="664" t="s">
        <v>14</v>
      </c>
      <c r="I126" s="663">
        <v>15658</v>
      </c>
    </row>
    <row r="127" spans="2:9" ht="20.100000000000001" customHeight="1">
      <c r="B127" s="433" t="s">
        <v>472</v>
      </c>
      <c r="C127" s="432">
        <v>3021</v>
      </c>
      <c r="D127" s="344">
        <v>4890</v>
      </c>
      <c r="E127" s="344">
        <v>1657</v>
      </c>
      <c r="F127" s="344">
        <v>5511</v>
      </c>
      <c r="G127" s="344">
        <v>2153</v>
      </c>
      <c r="H127" s="432">
        <v>1378</v>
      </c>
      <c r="I127" s="436">
        <v>18610</v>
      </c>
    </row>
    <row r="128" spans="2:9" ht="20.100000000000001" customHeight="1">
      <c r="B128" s="363" t="s">
        <v>470</v>
      </c>
      <c r="C128" s="661">
        <v>3021</v>
      </c>
      <c r="D128" s="366">
        <v>6</v>
      </c>
      <c r="E128" s="366">
        <v>1610</v>
      </c>
      <c r="F128" s="366">
        <v>1277</v>
      </c>
      <c r="G128" s="366">
        <v>2133</v>
      </c>
      <c r="H128" s="661">
        <v>1378</v>
      </c>
      <c r="I128" s="660">
        <v>9425</v>
      </c>
    </row>
    <row r="129" spans="2:9" ht="20.100000000000001" customHeight="1">
      <c r="B129" s="365" t="s">
        <v>469</v>
      </c>
      <c r="C129" s="664" t="s">
        <v>14</v>
      </c>
      <c r="D129" s="367">
        <v>4884</v>
      </c>
      <c r="E129" s="367">
        <v>47</v>
      </c>
      <c r="F129" s="367">
        <v>4234</v>
      </c>
      <c r="G129" s="367">
        <v>20</v>
      </c>
      <c r="H129" s="664" t="s">
        <v>14</v>
      </c>
      <c r="I129" s="663">
        <v>9185</v>
      </c>
    </row>
    <row r="130" spans="2:9" ht="20.100000000000001" customHeight="1">
      <c r="B130" s="433" t="s">
        <v>471</v>
      </c>
      <c r="C130" s="432">
        <v>1449</v>
      </c>
      <c r="D130" s="344">
        <v>5729</v>
      </c>
      <c r="E130" s="344">
        <v>1502</v>
      </c>
      <c r="F130" s="344">
        <v>613</v>
      </c>
      <c r="G130" s="344">
        <v>1196</v>
      </c>
      <c r="H130" s="432">
        <v>3107</v>
      </c>
      <c r="I130" s="436">
        <v>13596</v>
      </c>
    </row>
    <row r="131" spans="2:9" ht="20.100000000000001" customHeight="1">
      <c r="B131" s="363" t="s">
        <v>470</v>
      </c>
      <c r="C131" s="661">
        <v>1449</v>
      </c>
      <c r="D131" s="366">
        <v>9</v>
      </c>
      <c r="E131" s="366">
        <v>1238</v>
      </c>
      <c r="F131" s="366">
        <v>152</v>
      </c>
      <c r="G131" s="366">
        <v>1168</v>
      </c>
      <c r="H131" s="661">
        <v>3107</v>
      </c>
      <c r="I131" s="660">
        <v>7123</v>
      </c>
    </row>
    <row r="132" spans="2:9" ht="20.100000000000001" customHeight="1">
      <c r="B132" s="659" t="s">
        <v>469</v>
      </c>
      <c r="C132" s="658" t="s">
        <v>14</v>
      </c>
      <c r="D132" s="657">
        <v>5720</v>
      </c>
      <c r="E132" s="657">
        <v>264</v>
      </c>
      <c r="F132" s="657">
        <v>461</v>
      </c>
      <c r="G132" s="657">
        <v>28</v>
      </c>
      <c r="H132" s="658" t="s">
        <v>14</v>
      </c>
      <c r="I132" s="656">
        <v>6473</v>
      </c>
    </row>
    <row r="133" spans="2:9" ht="20.100000000000001" customHeight="1">
      <c r="B133" s="745" t="s">
        <v>475</v>
      </c>
      <c r="C133" s="666"/>
      <c r="D133" s="666"/>
      <c r="E133" s="666"/>
      <c r="F133" s="666"/>
      <c r="G133" s="666"/>
      <c r="H133" s="666"/>
      <c r="I133" s="666"/>
    </row>
    <row r="134" spans="2:9" ht="20.100000000000001" customHeight="1">
      <c r="B134" s="433" t="s">
        <v>473</v>
      </c>
      <c r="C134" s="432">
        <v>4208</v>
      </c>
      <c r="D134" s="344">
        <v>11383</v>
      </c>
      <c r="E134" s="344">
        <v>2885</v>
      </c>
      <c r="F134" s="344">
        <v>5994</v>
      </c>
      <c r="G134" s="344">
        <v>4249</v>
      </c>
      <c r="H134" s="432">
        <v>4265</v>
      </c>
      <c r="I134" s="436">
        <v>32984</v>
      </c>
    </row>
    <row r="135" spans="2:9" ht="20.100000000000001" customHeight="1">
      <c r="B135" s="363" t="s">
        <v>470</v>
      </c>
      <c r="C135" s="661">
        <v>4208</v>
      </c>
      <c r="D135" s="366">
        <v>5</v>
      </c>
      <c r="E135" s="366">
        <v>2584</v>
      </c>
      <c r="F135" s="366">
        <v>1297</v>
      </c>
      <c r="G135" s="366">
        <v>4204</v>
      </c>
      <c r="H135" s="366">
        <v>4265</v>
      </c>
      <c r="I135" s="699">
        <v>16563</v>
      </c>
    </row>
    <row r="136" spans="2:9" ht="20.100000000000001" customHeight="1">
      <c r="B136" s="365" t="s">
        <v>469</v>
      </c>
      <c r="C136" s="664" t="s">
        <v>14</v>
      </c>
      <c r="D136" s="367">
        <v>11378</v>
      </c>
      <c r="E136" s="367">
        <v>301</v>
      </c>
      <c r="F136" s="367">
        <v>4697</v>
      </c>
      <c r="G136" s="367">
        <v>45</v>
      </c>
      <c r="H136" s="367" t="s">
        <v>14</v>
      </c>
      <c r="I136" s="698">
        <v>16421</v>
      </c>
    </row>
    <row r="137" spans="2:9" ht="20.100000000000001" customHeight="1">
      <c r="B137" s="433" t="s">
        <v>472</v>
      </c>
      <c r="C137" s="432">
        <v>2912</v>
      </c>
      <c r="D137" s="344">
        <v>4606</v>
      </c>
      <c r="E137" s="344">
        <v>1582</v>
      </c>
      <c r="F137" s="344">
        <v>5356</v>
      </c>
      <c r="G137" s="344">
        <v>3774</v>
      </c>
      <c r="H137" s="432">
        <v>1260</v>
      </c>
      <c r="I137" s="436">
        <v>19490</v>
      </c>
    </row>
    <row r="138" spans="2:9" ht="20.100000000000001" customHeight="1">
      <c r="B138" s="363" t="s">
        <v>470</v>
      </c>
      <c r="C138" s="661">
        <v>2912</v>
      </c>
      <c r="D138" s="366">
        <v>3</v>
      </c>
      <c r="E138" s="366">
        <v>1545</v>
      </c>
      <c r="F138" s="366">
        <v>1157</v>
      </c>
      <c r="G138" s="366">
        <v>3751</v>
      </c>
      <c r="H138" s="366">
        <v>1260</v>
      </c>
      <c r="I138" s="699">
        <v>10628</v>
      </c>
    </row>
    <row r="139" spans="2:9" ht="20.100000000000001" customHeight="1">
      <c r="B139" s="365" t="s">
        <v>469</v>
      </c>
      <c r="C139" s="664" t="s">
        <v>14</v>
      </c>
      <c r="D139" s="367">
        <v>4603</v>
      </c>
      <c r="E139" s="367">
        <v>37</v>
      </c>
      <c r="F139" s="367">
        <v>4199</v>
      </c>
      <c r="G139" s="367">
        <v>23</v>
      </c>
      <c r="H139" s="367" t="s">
        <v>14</v>
      </c>
      <c r="I139" s="698">
        <v>8862</v>
      </c>
    </row>
    <row r="140" spans="2:9" ht="20.100000000000001" customHeight="1">
      <c r="B140" s="433" t="s">
        <v>471</v>
      </c>
      <c r="C140" s="432">
        <v>1296</v>
      </c>
      <c r="D140" s="344">
        <v>6777</v>
      </c>
      <c r="E140" s="344">
        <v>1303</v>
      </c>
      <c r="F140" s="344">
        <v>638</v>
      </c>
      <c r="G140" s="344">
        <v>475</v>
      </c>
      <c r="H140" s="432">
        <v>3005</v>
      </c>
      <c r="I140" s="436">
        <v>13494</v>
      </c>
    </row>
    <row r="141" spans="2:9" ht="20.100000000000001" customHeight="1">
      <c r="B141" s="363" t="s">
        <v>470</v>
      </c>
      <c r="C141" s="661">
        <v>1296</v>
      </c>
      <c r="D141" s="366">
        <v>2</v>
      </c>
      <c r="E141" s="366">
        <v>1039</v>
      </c>
      <c r="F141" s="366">
        <v>140</v>
      </c>
      <c r="G141" s="366">
        <v>453</v>
      </c>
      <c r="H141" s="366">
        <v>3005</v>
      </c>
      <c r="I141" s="699">
        <v>5935</v>
      </c>
    </row>
    <row r="142" spans="2:9" ht="20.100000000000001" customHeight="1">
      <c r="B142" s="659" t="s">
        <v>469</v>
      </c>
      <c r="C142" s="658" t="s">
        <v>14</v>
      </c>
      <c r="D142" s="657">
        <v>6775</v>
      </c>
      <c r="E142" s="657">
        <v>264</v>
      </c>
      <c r="F142" s="657">
        <v>498</v>
      </c>
      <c r="G142" s="657">
        <v>22</v>
      </c>
      <c r="H142" s="657" t="s">
        <v>14</v>
      </c>
      <c r="I142" s="720">
        <v>7559</v>
      </c>
    </row>
    <row r="143" spans="2:9" ht="20.100000000000001" customHeight="1">
      <c r="B143" s="744" t="s">
        <v>474</v>
      </c>
      <c r="C143" s="666"/>
      <c r="D143" s="666"/>
      <c r="E143" s="666"/>
      <c r="F143" s="666"/>
      <c r="G143" s="666"/>
      <c r="H143" s="666"/>
      <c r="I143" s="666"/>
    </row>
    <row r="144" spans="2:9" ht="20.100000000000001" customHeight="1">
      <c r="B144" s="743" t="s">
        <v>473</v>
      </c>
      <c r="C144" s="586">
        <v>4132</v>
      </c>
      <c r="D144" s="585">
        <v>11678</v>
      </c>
      <c r="E144" s="585">
        <v>2707</v>
      </c>
      <c r="F144" s="585">
        <v>5803</v>
      </c>
      <c r="G144" s="585">
        <v>4108</v>
      </c>
      <c r="H144" s="585">
        <v>4078</v>
      </c>
      <c r="I144" s="697">
        <v>32506</v>
      </c>
    </row>
    <row r="145" spans="2:9" ht="20.100000000000001" customHeight="1">
      <c r="B145" s="363" t="s">
        <v>470</v>
      </c>
      <c r="C145" s="661">
        <v>4132</v>
      </c>
      <c r="D145" s="366">
        <v>7</v>
      </c>
      <c r="E145" s="366">
        <v>2431</v>
      </c>
      <c r="F145" s="366">
        <v>1289</v>
      </c>
      <c r="G145" s="366">
        <v>4066</v>
      </c>
      <c r="H145" s="366">
        <v>4078</v>
      </c>
      <c r="I145" s="699">
        <v>16004</v>
      </c>
    </row>
    <row r="146" spans="2:9" ht="20.100000000000001" customHeight="1">
      <c r="B146" s="365" t="s">
        <v>469</v>
      </c>
      <c r="C146" s="664" t="s">
        <v>468</v>
      </c>
      <c r="D146" s="367">
        <v>11671</v>
      </c>
      <c r="E146" s="367">
        <v>276</v>
      </c>
      <c r="F146" s="367">
        <v>4514</v>
      </c>
      <c r="G146" s="367">
        <v>42</v>
      </c>
      <c r="H146" s="367" t="s">
        <v>468</v>
      </c>
      <c r="I146" s="698">
        <v>16502</v>
      </c>
    </row>
    <row r="147" spans="2:9" ht="20.100000000000001" customHeight="1">
      <c r="B147" s="742" t="s">
        <v>472</v>
      </c>
      <c r="C147" s="586">
        <v>2964</v>
      </c>
      <c r="D147" s="585">
        <v>6262</v>
      </c>
      <c r="E147" s="585">
        <v>1749</v>
      </c>
      <c r="F147" s="585">
        <v>5151</v>
      </c>
      <c r="G147" s="585">
        <v>3493</v>
      </c>
      <c r="H147" s="585">
        <v>1127</v>
      </c>
      <c r="I147" s="697">
        <v>20746</v>
      </c>
    </row>
    <row r="148" spans="2:9" ht="20.100000000000001" customHeight="1">
      <c r="B148" s="363" t="s">
        <v>470</v>
      </c>
      <c r="C148" s="661">
        <v>2964</v>
      </c>
      <c r="D148" s="366">
        <v>4</v>
      </c>
      <c r="E148" s="366">
        <v>1692</v>
      </c>
      <c r="F148" s="366">
        <v>1013</v>
      </c>
      <c r="G148" s="366">
        <v>3476</v>
      </c>
      <c r="H148" s="366">
        <v>1127</v>
      </c>
      <c r="I148" s="699">
        <v>10276</v>
      </c>
    </row>
    <row r="149" spans="2:9" ht="20.100000000000001" customHeight="1">
      <c r="B149" s="365" t="s">
        <v>469</v>
      </c>
      <c r="C149" s="664" t="s">
        <v>468</v>
      </c>
      <c r="D149" s="367">
        <v>6258</v>
      </c>
      <c r="E149" s="367">
        <v>57</v>
      </c>
      <c r="F149" s="367">
        <v>4138</v>
      </c>
      <c r="G149" s="367">
        <v>17</v>
      </c>
      <c r="H149" s="367" t="s">
        <v>468</v>
      </c>
      <c r="I149" s="698">
        <v>10470</v>
      </c>
    </row>
    <row r="150" spans="2:9" ht="20.100000000000001" customHeight="1">
      <c r="B150" s="742" t="s">
        <v>471</v>
      </c>
      <c r="C150" s="586">
        <v>1168</v>
      </c>
      <c r="D150" s="585">
        <v>5416</v>
      </c>
      <c r="E150" s="585">
        <v>958</v>
      </c>
      <c r="F150" s="585">
        <v>652</v>
      </c>
      <c r="G150" s="585">
        <v>615</v>
      </c>
      <c r="H150" s="585">
        <v>2951</v>
      </c>
      <c r="I150" s="697">
        <v>11760</v>
      </c>
    </row>
    <row r="151" spans="2:9" ht="20.100000000000001" customHeight="1">
      <c r="B151" s="363" t="s">
        <v>470</v>
      </c>
      <c r="C151" s="661">
        <v>1168</v>
      </c>
      <c r="D151" s="366">
        <v>3</v>
      </c>
      <c r="E151" s="366">
        <v>739</v>
      </c>
      <c r="F151" s="366">
        <v>276</v>
      </c>
      <c r="G151" s="366">
        <v>590</v>
      </c>
      <c r="H151" s="366">
        <v>2951</v>
      </c>
      <c r="I151" s="699">
        <v>5727</v>
      </c>
    </row>
    <row r="152" spans="2:9" ht="20.100000000000001" customHeight="1">
      <c r="B152" s="659" t="s">
        <v>469</v>
      </c>
      <c r="C152" s="658" t="s">
        <v>468</v>
      </c>
      <c r="D152" s="657">
        <v>5413</v>
      </c>
      <c r="E152" s="657">
        <v>219</v>
      </c>
      <c r="F152" s="657">
        <v>376</v>
      </c>
      <c r="G152" s="657">
        <v>25</v>
      </c>
      <c r="H152" s="657" t="s">
        <v>468</v>
      </c>
      <c r="I152" s="720">
        <v>6033</v>
      </c>
    </row>
    <row r="154" spans="2:9" ht="20.100000000000001" customHeight="1">
      <c r="B154" s="75"/>
      <c r="C154" s="75"/>
      <c r="D154" s="75"/>
      <c r="E154" s="75"/>
      <c r="F154" s="75"/>
      <c r="G154" s="75"/>
      <c r="H154" s="75"/>
      <c r="I154" s="75"/>
    </row>
  </sheetData>
  <mergeCells count="5">
    <mergeCell ref="B2:H2"/>
    <mergeCell ref="C4:I4"/>
    <mergeCell ref="B43:C43"/>
    <mergeCell ref="C51:I51"/>
    <mergeCell ref="C91:I91"/>
  </mergeCells>
  <pageMargins left="0.75" right="0.75" top="1" bottom="1" header="0.5" footer="0.5"/>
  <pageSetup paperSize="9" scale="53" orientation="portrait" horizontalDpi="4294967292" verticalDpi="4294967292" r:id="rId1"/>
  <rowBreaks count="2" manualBreakCount="2">
    <brk id="50" max="8" man="1"/>
    <brk id="89" max="8" man="1"/>
  </rowBreaks>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45">
    <tabColor rgb="FF733E8D"/>
  </sheetPr>
  <dimension ref="B2:I98"/>
  <sheetViews>
    <sheetView showGridLines="0" view="pageBreakPreview" zoomScaleNormal="130" zoomScaleSheetLayoutView="100" zoomScalePageLayoutView="130" workbookViewId="0">
      <selection activeCell="B15" sqref="B15"/>
    </sheetView>
  </sheetViews>
  <sheetFormatPr defaultColWidth="10.875" defaultRowHeight="20.100000000000001" customHeight="1"/>
  <cols>
    <col min="1" max="1" width="5.5" style="468" customWidth="1"/>
    <col min="2" max="2" width="47.875" style="468" customWidth="1"/>
    <col min="3" max="16384" width="10.875" style="468"/>
  </cols>
  <sheetData>
    <row r="2" spans="2:9" ht="20.100000000000001" customHeight="1">
      <c r="B2" s="1156" t="str">
        <f>UPPER("Results of operations for oil and gas producing activities")</f>
        <v>RESULTS OF OPERATIONS FOR OIL AND GAS PRODUCING ACTIVITIES</v>
      </c>
      <c r="C2" s="1156"/>
      <c r="D2" s="1156"/>
      <c r="E2" s="1156"/>
      <c r="F2" s="1156"/>
      <c r="G2" s="1156"/>
      <c r="H2" s="1156"/>
    </row>
    <row r="3" spans="2:9" ht="20.100000000000001" customHeight="1">
      <c r="B3" s="715" t="s">
        <v>575</v>
      </c>
    </row>
    <row r="4" spans="2:9" ht="20.100000000000001" customHeight="1">
      <c r="B4" s="696" t="s">
        <v>13</v>
      </c>
      <c r="C4" s="1198" t="s">
        <v>470</v>
      </c>
      <c r="D4" s="1198"/>
      <c r="E4" s="1198"/>
      <c r="F4" s="1198"/>
      <c r="G4" s="1198"/>
      <c r="H4" s="1198"/>
      <c r="I4" s="1198"/>
    </row>
    <row r="5" spans="2:9" ht="37.5" customHeight="1">
      <c r="B5" s="461"/>
      <c r="C5" s="694" t="s">
        <v>551</v>
      </c>
      <c r="D5" s="693" t="s">
        <v>421</v>
      </c>
      <c r="E5" s="694" t="s">
        <v>481</v>
      </c>
      <c r="F5" s="694" t="s">
        <v>480</v>
      </c>
      <c r="G5" s="694" t="s">
        <v>443</v>
      </c>
      <c r="H5" s="693" t="s">
        <v>434</v>
      </c>
      <c r="I5" s="693" t="s">
        <v>36</v>
      </c>
    </row>
    <row r="6" spans="2:9" ht="20.100000000000001" customHeight="1">
      <c r="B6" s="745">
        <v>2012</v>
      </c>
      <c r="C6" s="738"/>
      <c r="D6" s="738"/>
      <c r="E6" s="738"/>
      <c r="F6" s="738"/>
      <c r="G6" s="738"/>
      <c r="H6" s="738"/>
      <c r="I6" s="738"/>
    </row>
    <row r="7" spans="2:9" ht="20.100000000000001" customHeight="1">
      <c r="B7" s="760" t="s">
        <v>567</v>
      </c>
      <c r="C7" s="762">
        <v>2683</v>
      </c>
      <c r="D7" s="761" t="s">
        <v>14</v>
      </c>
      <c r="E7" s="761">
        <v>3758</v>
      </c>
      <c r="F7" s="761">
        <v>2809</v>
      </c>
      <c r="G7" s="761">
        <v>1244</v>
      </c>
      <c r="H7" s="761">
        <v>4377</v>
      </c>
      <c r="I7" s="766">
        <v>14871</v>
      </c>
    </row>
    <row r="8" spans="2:9" ht="20.100000000000001" customHeight="1">
      <c r="B8" s="755" t="s">
        <v>548</v>
      </c>
      <c r="C8" s="754">
        <v>8949</v>
      </c>
      <c r="D8" s="753">
        <v>265</v>
      </c>
      <c r="E8" s="753">
        <v>16332</v>
      </c>
      <c r="F8" s="753">
        <v>2234</v>
      </c>
      <c r="G8" s="753">
        <v>820</v>
      </c>
      <c r="H8" s="753">
        <v>610</v>
      </c>
      <c r="I8" s="765">
        <v>29210</v>
      </c>
    </row>
    <row r="9" spans="2:9" ht="20.100000000000001" customHeight="1">
      <c r="B9" s="433" t="s">
        <v>547</v>
      </c>
      <c r="C9" s="769">
        <v>11632</v>
      </c>
      <c r="D9" s="768">
        <v>265</v>
      </c>
      <c r="E9" s="768">
        <v>20090</v>
      </c>
      <c r="F9" s="768">
        <v>5043</v>
      </c>
      <c r="G9" s="768">
        <v>2064</v>
      </c>
      <c r="H9" s="768">
        <v>4987</v>
      </c>
      <c r="I9" s="767">
        <v>44081</v>
      </c>
    </row>
    <row r="10" spans="2:9" ht="20.100000000000001" customHeight="1">
      <c r="B10" s="760" t="s">
        <v>546</v>
      </c>
      <c r="C10" s="759">
        <v>-1746</v>
      </c>
      <c r="D10" s="758">
        <v>-39</v>
      </c>
      <c r="E10" s="758">
        <v>-1787</v>
      </c>
      <c r="F10" s="758">
        <v>-503</v>
      </c>
      <c r="G10" s="758">
        <v>-381</v>
      </c>
      <c r="H10" s="758">
        <v>-416</v>
      </c>
      <c r="I10" s="757">
        <v>-4872</v>
      </c>
    </row>
    <row r="11" spans="2:9" ht="20.100000000000001" customHeight="1">
      <c r="B11" s="760" t="s">
        <v>545</v>
      </c>
      <c r="C11" s="759">
        <v>-629</v>
      </c>
      <c r="D11" s="758">
        <v>-3</v>
      </c>
      <c r="E11" s="758">
        <v>-381</v>
      </c>
      <c r="F11" s="758">
        <v>-111</v>
      </c>
      <c r="G11" s="758">
        <v>-436</v>
      </c>
      <c r="H11" s="758">
        <v>-297</v>
      </c>
      <c r="I11" s="757">
        <v>-1857</v>
      </c>
    </row>
    <row r="12" spans="2:9" ht="20.100000000000001" customHeight="1">
      <c r="B12" s="760" t="s">
        <v>544</v>
      </c>
      <c r="C12" s="759">
        <v>-2585</v>
      </c>
      <c r="D12" s="758">
        <v>-75</v>
      </c>
      <c r="E12" s="758">
        <v>-3170</v>
      </c>
      <c r="F12" s="758">
        <v>-726</v>
      </c>
      <c r="G12" s="758">
        <v>-2002</v>
      </c>
      <c r="H12" s="758">
        <v>-1096</v>
      </c>
      <c r="I12" s="757">
        <v>-9654</v>
      </c>
    </row>
    <row r="13" spans="2:9" ht="20.100000000000001" customHeight="1">
      <c r="B13" s="755" t="s">
        <v>562</v>
      </c>
      <c r="C13" s="754">
        <v>-420</v>
      </c>
      <c r="D13" s="753">
        <v>-31</v>
      </c>
      <c r="E13" s="753">
        <v>-1388</v>
      </c>
      <c r="F13" s="753">
        <v>-558</v>
      </c>
      <c r="G13" s="753">
        <v>-496</v>
      </c>
      <c r="H13" s="753">
        <v>-132</v>
      </c>
      <c r="I13" s="765">
        <v>-3025</v>
      </c>
    </row>
    <row r="14" spans="2:9" ht="20.100000000000001" customHeight="1">
      <c r="B14" s="433" t="s">
        <v>574</v>
      </c>
      <c r="C14" s="769">
        <v>6251</v>
      </c>
      <c r="D14" s="768">
        <v>117</v>
      </c>
      <c r="E14" s="768">
        <v>13365</v>
      </c>
      <c r="F14" s="768">
        <v>3145</v>
      </c>
      <c r="G14" s="768">
        <v>-1251</v>
      </c>
      <c r="H14" s="768">
        <v>3046</v>
      </c>
      <c r="I14" s="767">
        <v>24673</v>
      </c>
    </row>
    <row r="15" spans="2:9" ht="20.100000000000001" customHeight="1">
      <c r="B15" s="755" t="s">
        <v>541</v>
      </c>
      <c r="C15" s="754">
        <v>-4430</v>
      </c>
      <c r="D15" s="753">
        <v>-53</v>
      </c>
      <c r="E15" s="753">
        <v>-7955</v>
      </c>
      <c r="F15" s="753">
        <v>-2027</v>
      </c>
      <c r="G15" s="753">
        <v>291</v>
      </c>
      <c r="H15" s="753">
        <v>-1610</v>
      </c>
      <c r="I15" s="765">
        <v>-15784</v>
      </c>
    </row>
    <row r="16" spans="2:9" ht="20.100000000000001" customHeight="1">
      <c r="B16" s="433" t="s">
        <v>573</v>
      </c>
      <c r="C16" s="769">
        <v>1821</v>
      </c>
      <c r="D16" s="768">
        <v>64</v>
      </c>
      <c r="E16" s="768">
        <v>5410</v>
      </c>
      <c r="F16" s="768">
        <v>1118</v>
      </c>
      <c r="G16" s="768">
        <v>-960</v>
      </c>
      <c r="H16" s="768">
        <v>1436</v>
      </c>
      <c r="I16" s="767">
        <v>8889</v>
      </c>
    </row>
    <row r="17" spans="2:9" ht="20.100000000000001" customHeight="1">
      <c r="B17" s="745">
        <v>2013</v>
      </c>
      <c r="C17" s="666"/>
      <c r="D17" s="666"/>
      <c r="E17" s="666"/>
      <c r="F17" s="666"/>
      <c r="G17" s="666"/>
      <c r="H17" s="666"/>
      <c r="I17" s="666"/>
    </row>
    <row r="18" spans="2:9" ht="20.100000000000001" customHeight="1">
      <c r="B18" s="760" t="s">
        <v>549</v>
      </c>
      <c r="C18" s="762">
        <v>2302</v>
      </c>
      <c r="D18" s="761" t="s">
        <v>14</v>
      </c>
      <c r="E18" s="761">
        <v>3088</v>
      </c>
      <c r="F18" s="761">
        <v>2566</v>
      </c>
      <c r="G18" s="761">
        <v>1331</v>
      </c>
      <c r="H18" s="761">
        <v>4494</v>
      </c>
      <c r="I18" s="766">
        <v>13781</v>
      </c>
    </row>
    <row r="19" spans="2:9" ht="20.100000000000001" customHeight="1">
      <c r="B19" s="755" t="s">
        <v>548</v>
      </c>
      <c r="C19" s="754">
        <v>7887</v>
      </c>
      <c r="D19" s="753">
        <v>268</v>
      </c>
      <c r="E19" s="753">
        <v>15310</v>
      </c>
      <c r="F19" s="753">
        <v>1666</v>
      </c>
      <c r="G19" s="753">
        <v>808</v>
      </c>
      <c r="H19" s="753">
        <v>601</v>
      </c>
      <c r="I19" s="765">
        <v>26540</v>
      </c>
    </row>
    <row r="20" spans="2:9" ht="20.100000000000001" customHeight="1">
      <c r="B20" s="433" t="s">
        <v>547</v>
      </c>
      <c r="C20" s="769">
        <v>10189</v>
      </c>
      <c r="D20" s="768">
        <v>268</v>
      </c>
      <c r="E20" s="768">
        <v>18398</v>
      </c>
      <c r="F20" s="768">
        <v>4232</v>
      </c>
      <c r="G20" s="768">
        <v>2139</v>
      </c>
      <c r="H20" s="768">
        <v>5095</v>
      </c>
      <c r="I20" s="767">
        <v>40321</v>
      </c>
    </row>
    <row r="21" spans="2:9" ht="20.100000000000001" customHeight="1">
      <c r="B21" s="760" t="s">
        <v>546</v>
      </c>
      <c r="C21" s="759">
        <v>-1841</v>
      </c>
      <c r="D21" s="758">
        <v>-39</v>
      </c>
      <c r="E21" s="758">
        <v>-1925</v>
      </c>
      <c r="F21" s="758">
        <v>-547</v>
      </c>
      <c r="G21" s="758">
        <v>-415</v>
      </c>
      <c r="H21" s="758">
        <v>-467</v>
      </c>
      <c r="I21" s="757">
        <v>-5234</v>
      </c>
    </row>
    <row r="22" spans="2:9" ht="20.100000000000001" customHeight="1">
      <c r="B22" s="760" t="s">
        <v>545</v>
      </c>
      <c r="C22" s="759">
        <v>-509</v>
      </c>
      <c r="D22" s="758">
        <v>-4</v>
      </c>
      <c r="E22" s="758">
        <v>-520</v>
      </c>
      <c r="F22" s="758">
        <v>-228</v>
      </c>
      <c r="G22" s="758">
        <v>-539</v>
      </c>
      <c r="H22" s="758">
        <v>-369</v>
      </c>
      <c r="I22" s="757">
        <v>-2169</v>
      </c>
    </row>
    <row r="23" spans="2:9" ht="20.100000000000001" customHeight="1">
      <c r="B23" s="760" t="s">
        <v>544</v>
      </c>
      <c r="C23" s="759">
        <v>-1863</v>
      </c>
      <c r="D23" s="758">
        <v>-85</v>
      </c>
      <c r="E23" s="758">
        <v>-3321</v>
      </c>
      <c r="F23" s="758">
        <v>-837</v>
      </c>
      <c r="G23" s="758">
        <v>-1214</v>
      </c>
      <c r="H23" s="758">
        <v>-1561</v>
      </c>
      <c r="I23" s="757">
        <v>-8881</v>
      </c>
    </row>
    <row r="24" spans="2:9" ht="20.100000000000001" customHeight="1">
      <c r="B24" s="755" t="s">
        <v>562</v>
      </c>
      <c r="C24" s="754">
        <v>-493</v>
      </c>
      <c r="D24" s="753">
        <v>-33</v>
      </c>
      <c r="E24" s="753">
        <v>-1285</v>
      </c>
      <c r="F24" s="753">
        <v>-399</v>
      </c>
      <c r="G24" s="753">
        <v>-434</v>
      </c>
      <c r="H24" s="753">
        <v>-149</v>
      </c>
      <c r="I24" s="765">
        <v>-2793</v>
      </c>
    </row>
    <row r="25" spans="2:9" ht="20.100000000000001" customHeight="1">
      <c r="B25" s="433" t="s">
        <v>572</v>
      </c>
      <c r="C25" s="769">
        <v>5483</v>
      </c>
      <c r="D25" s="768">
        <v>107</v>
      </c>
      <c r="E25" s="768">
        <v>11347</v>
      </c>
      <c r="F25" s="768">
        <v>2221</v>
      </c>
      <c r="G25" s="768">
        <v>-463</v>
      </c>
      <c r="H25" s="768">
        <v>2549</v>
      </c>
      <c r="I25" s="767">
        <v>21244</v>
      </c>
    </row>
    <row r="26" spans="2:9" ht="20.100000000000001" customHeight="1">
      <c r="B26" s="755" t="s">
        <v>541</v>
      </c>
      <c r="C26" s="754">
        <v>-3628</v>
      </c>
      <c r="D26" s="753">
        <v>-46</v>
      </c>
      <c r="E26" s="753">
        <v>-7075</v>
      </c>
      <c r="F26" s="753">
        <v>-1626</v>
      </c>
      <c r="G26" s="753">
        <v>56</v>
      </c>
      <c r="H26" s="753">
        <v>-1354</v>
      </c>
      <c r="I26" s="765">
        <v>-13673</v>
      </c>
    </row>
    <row r="27" spans="2:9" ht="20.100000000000001" customHeight="1">
      <c r="B27" s="433" t="s">
        <v>571</v>
      </c>
      <c r="C27" s="769">
        <v>1855</v>
      </c>
      <c r="D27" s="768">
        <v>61</v>
      </c>
      <c r="E27" s="768">
        <v>4272</v>
      </c>
      <c r="F27" s="768">
        <v>595</v>
      </c>
      <c r="G27" s="768">
        <v>-407</v>
      </c>
      <c r="H27" s="768">
        <v>1195</v>
      </c>
      <c r="I27" s="767">
        <v>7571</v>
      </c>
    </row>
    <row r="28" spans="2:9" ht="20.100000000000001" customHeight="1">
      <c r="B28" s="745" t="s">
        <v>570</v>
      </c>
      <c r="C28" s="666"/>
      <c r="D28" s="666"/>
      <c r="E28" s="666"/>
      <c r="F28" s="666"/>
      <c r="G28" s="666"/>
      <c r="H28" s="666"/>
      <c r="I28" s="666"/>
    </row>
    <row r="29" spans="2:9" ht="20.100000000000001" customHeight="1">
      <c r="B29" s="760" t="s">
        <v>549</v>
      </c>
      <c r="C29" s="762">
        <v>2200</v>
      </c>
      <c r="D29" s="761" t="s">
        <v>14</v>
      </c>
      <c r="E29" s="761">
        <v>2885</v>
      </c>
      <c r="F29" s="761">
        <v>1480</v>
      </c>
      <c r="G29" s="761">
        <v>1195</v>
      </c>
      <c r="H29" s="761">
        <v>4296</v>
      </c>
      <c r="I29" s="766">
        <v>12056</v>
      </c>
    </row>
    <row r="30" spans="2:9" ht="20.100000000000001" customHeight="1">
      <c r="B30" s="755" t="s">
        <v>548</v>
      </c>
      <c r="C30" s="754">
        <v>6064</v>
      </c>
      <c r="D30" s="753">
        <v>236</v>
      </c>
      <c r="E30" s="753">
        <v>13010</v>
      </c>
      <c r="F30" s="753">
        <v>1348</v>
      </c>
      <c r="G30" s="753">
        <v>971</v>
      </c>
      <c r="H30" s="753">
        <v>644</v>
      </c>
      <c r="I30" s="765">
        <v>22273</v>
      </c>
    </row>
    <row r="31" spans="2:9" ht="20.100000000000001" customHeight="1">
      <c r="B31" s="433" t="s">
        <v>547</v>
      </c>
      <c r="C31" s="769">
        <v>8264</v>
      </c>
      <c r="D31" s="768">
        <v>236</v>
      </c>
      <c r="E31" s="768">
        <v>15895</v>
      </c>
      <c r="F31" s="768">
        <v>2828</v>
      </c>
      <c r="G31" s="768">
        <v>2166</v>
      </c>
      <c r="H31" s="768">
        <v>4940</v>
      </c>
      <c r="I31" s="767">
        <v>34329</v>
      </c>
    </row>
    <row r="32" spans="2:9" ht="20.100000000000001" customHeight="1">
      <c r="B32" s="760" t="s">
        <v>546</v>
      </c>
      <c r="C32" s="759">
        <v>-1800</v>
      </c>
      <c r="D32" s="758">
        <v>-44</v>
      </c>
      <c r="E32" s="758">
        <v>-2166</v>
      </c>
      <c r="F32" s="758">
        <v>-559</v>
      </c>
      <c r="G32" s="758">
        <v>-466</v>
      </c>
      <c r="H32" s="758">
        <v>-666</v>
      </c>
      <c r="I32" s="757">
        <v>-5701</v>
      </c>
    </row>
    <row r="33" spans="2:9" ht="20.100000000000001" customHeight="1">
      <c r="B33" s="760" t="s">
        <v>545</v>
      </c>
      <c r="C33" s="759">
        <v>-636</v>
      </c>
      <c r="D33" s="758">
        <v>-9</v>
      </c>
      <c r="E33" s="758">
        <v>-520</v>
      </c>
      <c r="F33" s="758">
        <v>-255</v>
      </c>
      <c r="G33" s="758">
        <v>-183</v>
      </c>
      <c r="H33" s="758">
        <v>-362</v>
      </c>
      <c r="I33" s="757">
        <v>-1965</v>
      </c>
    </row>
    <row r="34" spans="2:9" ht="20.100000000000001" customHeight="1">
      <c r="B34" s="760" t="s">
        <v>544</v>
      </c>
      <c r="C34" s="759">
        <v>-2170</v>
      </c>
      <c r="D34" s="758">
        <v>-97</v>
      </c>
      <c r="E34" s="758">
        <v>-4570</v>
      </c>
      <c r="F34" s="758">
        <v>-724</v>
      </c>
      <c r="G34" s="758">
        <v>-5717</v>
      </c>
      <c r="H34" s="758">
        <v>-1877</v>
      </c>
      <c r="I34" s="757">
        <v>-15155</v>
      </c>
    </row>
    <row r="35" spans="2:9" ht="20.100000000000001" customHeight="1">
      <c r="B35" s="755" t="s">
        <v>562</v>
      </c>
      <c r="C35" s="754">
        <v>-419</v>
      </c>
      <c r="D35" s="753">
        <v>-29</v>
      </c>
      <c r="E35" s="753">
        <v>-1172</v>
      </c>
      <c r="F35" s="753">
        <v>-317</v>
      </c>
      <c r="G35" s="753">
        <v>-402</v>
      </c>
      <c r="H35" s="753">
        <v>-167</v>
      </c>
      <c r="I35" s="765">
        <v>-2506</v>
      </c>
    </row>
    <row r="36" spans="2:9" ht="20.100000000000001" customHeight="1">
      <c r="B36" s="433" t="s">
        <v>569</v>
      </c>
      <c r="C36" s="769">
        <v>3239</v>
      </c>
      <c r="D36" s="768">
        <v>57</v>
      </c>
      <c r="E36" s="768">
        <v>7467</v>
      </c>
      <c r="F36" s="768">
        <v>973</v>
      </c>
      <c r="G36" s="768">
        <v>-4602</v>
      </c>
      <c r="H36" s="768">
        <v>1868</v>
      </c>
      <c r="I36" s="767">
        <v>9002</v>
      </c>
    </row>
    <row r="37" spans="2:9" ht="20.100000000000001" customHeight="1">
      <c r="B37" s="755" t="s">
        <v>541</v>
      </c>
      <c r="C37" s="754">
        <v>-1693</v>
      </c>
      <c r="D37" s="753">
        <v>-32</v>
      </c>
      <c r="E37" s="753">
        <v>-5513</v>
      </c>
      <c r="F37" s="753">
        <v>-887</v>
      </c>
      <c r="G37" s="753">
        <v>882</v>
      </c>
      <c r="H37" s="753">
        <v>-1149</v>
      </c>
      <c r="I37" s="765">
        <v>-8392</v>
      </c>
    </row>
    <row r="38" spans="2:9" ht="20.100000000000001" customHeight="1">
      <c r="B38" s="433" t="s">
        <v>568</v>
      </c>
      <c r="C38" s="769">
        <v>1546</v>
      </c>
      <c r="D38" s="768">
        <v>25</v>
      </c>
      <c r="E38" s="768">
        <v>1954</v>
      </c>
      <c r="F38" s="768">
        <v>86</v>
      </c>
      <c r="G38" s="768">
        <v>-3720</v>
      </c>
      <c r="H38" s="768">
        <v>719</v>
      </c>
      <c r="I38" s="767">
        <v>610</v>
      </c>
    </row>
    <row r="39" spans="2:9" ht="20.100000000000001" customHeight="1">
      <c r="B39" s="745">
        <v>2015</v>
      </c>
      <c r="C39" s="666"/>
      <c r="D39" s="666"/>
      <c r="E39" s="666"/>
      <c r="F39" s="666"/>
      <c r="G39" s="666"/>
      <c r="H39" s="666"/>
      <c r="I39" s="666"/>
    </row>
    <row r="40" spans="2:9" ht="20.100000000000001" customHeight="1">
      <c r="B40" s="760" t="s">
        <v>567</v>
      </c>
      <c r="C40" s="762">
        <v>1345</v>
      </c>
      <c r="D40" s="761" t="s">
        <v>14</v>
      </c>
      <c r="E40" s="761">
        <v>989</v>
      </c>
      <c r="F40" s="761">
        <v>2340</v>
      </c>
      <c r="G40" s="761">
        <v>970</v>
      </c>
      <c r="H40" s="761">
        <v>3013</v>
      </c>
      <c r="I40" s="766">
        <v>8657</v>
      </c>
    </row>
    <row r="41" spans="2:9" ht="20.100000000000001" customHeight="1">
      <c r="B41" s="755" t="s">
        <v>548</v>
      </c>
      <c r="C41" s="754">
        <v>3816</v>
      </c>
      <c r="D41" s="753">
        <v>129</v>
      </c>
      <c r="E41" s="753">
        <v>7816</v>
      </c>
      <c r="F41" s="753">
        <v>1858</v>
      </c>
      <c r="G41" s="753">
        <v>271</v>
      </c>
      <c r="H41" s="753">
        <v>356</v>
      </c>
      <c r="I41" s="765">
        <v>14246</v>
      </c>
    </row>
    <row r="42" spans="2:9" ht="20.100000000000001" customHeight="1">
      <c r="B42" s="433" t="s">
        <v>547</v>
      </c>
      <c r="C42" s="769">
        <v>5161</v>
      </c>
      <c r="D42" s="768">
        <v>129</v>
      </c>
      <c r="E42" s="768">
        <v>8805</v>
      </c>
      <c r="F42" s="768">
        <v>4198</v>
      </c>
      <c r="G42" s="768">
        <v>1241</v>
      </c>
      <c r="H42" s="768">
        <v>3369</v>
      </c>
      <c r="I42" s="767">
        <v>22903</v>
      </c>
    </row>
    <row r="43" spans="2:9" ht="20.100000000000001" customHeight="1">
      <c r="B43" s="760" t="s">
        <v>546</v>
      </c>
      <c r="C43" s="759">
        <v>-1521</v>
      </c>
      <c r="D43" s="758">
        <v>-34</v>
      </c>
      <c r="E43" s="758">
        <v>-1779</v>
      </c>
      <c r="F43" s="758">
        <v>-659</v>
      </c>
      <c r="G43" s="758">
        <v>-497</v>
      </c>
      <c r="H43" s="758">
        <v>-456</v>
      </c>
      <c r="I43" s="757">
        <v>-4946</v>
      </c>
    </row>
    <row r="44" spans="2:9" ht="20.100000000000001" customHeight="1">
      <c r="B44" s="760" t="s">
        <v>545</v>
      </c>
      <c r="C44" s="759">
        <v>-661</v>
      </c>
      <c r="D44" s="758">
        <v>-3</v>
      </c>
      <c r="E44" s="758">
        <v>-615</v>
      </c>
      <c r="F44" s="758">
        <v>-226</v>
      </c>
      <c r="G44" s="758">
        <v>-114</v>
      </c>
      <c r="H44" s="758">
        <v>-372</v>
      </c>
      <c r="I44" s="757">
        <v>-1991</v>
      </c>
    </row>
    <row r="45" spans="2:9" ht="20.100000000000001" customHeight="1">
      <c r="B45" s="760" t="s">
        <v>544</v>
      </c>
      <c r="C45" s="759">
        <v>-2415</v>
      </c>
      <c r="D45" s="758">
        <v>-203</v>
      </c>
      <c r="E45" s="758">
        <v>-6155</v>
      </c>
      <c r="F45" s="758">
        <v>-1344</v>
      </c>
      <c r="G45" s="758">
        <v>-1548</v>
      </c>
      <c r="H45" s="758">
        <v>-3483</v>
      </c>
      <c r="I45" s="757">
        <v>-15148</v>
      </c>
    </row>
    <row r="46" spans="2:9" ht="20.100000000000001" customHeight="1">
      <c r="B46" s="755" t="s">
        <v>562</v>
      </c>
      <c r="C46" s="754">
        <v>-350</v>
      </c>
      <c r="D46" s="753">
        <v>-16</v>
      </c>
      <c r="E46" s="753">
        <v>-722</v>
      </c>
      <c r="F46" s="753">
        <v>-2756</v>
      </c>
      <c r="G46" s="753">
        <v>-280</v>
      </c>
      <c r="H46" s="753">
        <v>-121</v>
      </c>
      <c r="I46" s="765">
        <v>-4245</v>
      </c>
    </row>
    <row r="47" spans="2:9" ht="20.100000000000001" customHeight="1">
      <c r="B47" s="433" t="s">
        <v>566</v>
      </c>
      <c r="C47" s="769">
        <v>214</v>
      </c>
      <c r="D47" s="768">
        <v>-127</v>
      </c>
      <c r="E47" s="768">
        <v>-466</v>
      </c>
      <c r="F47" s="768">
        <v>-787</v>
      </c>
      <c r="G47" s="768">
        <v>-1198</v>
      </c>
      <c r="H47" s="768">
        <v>-1063</v>
      </c>
      <c r="I47" s="767">
        <v>-3427</v>
      </c>
    </row>
    <row r="48" spans="2:9" ht="20.100000000000001" customHeight="1">
      <c r="B48" s="755" t="s">
        <v>541</v>
      </c>
      <c r="C48" s="754">
        <v>458</v>
      </c>
      <c r="D48" s="753">
        <v>-4</v>
      </c>
      <c r="E48" s="753">
        <v>-220</v>
      </c>
      <c r="F48" s="753">
        <v>-123</v>
      </c>
      <c r="G48" s="753">
        <v>210</v>
      </c>
      <c r="H48" s="753">
        <v>-173</v>
      </c>
      <c r="I48" s="765">
        <v>148</v>
      </c>
    </row>
    <row r="49" spans="2:9" ht="20.100000000000001" customHeight="1">
      <c r="B49" s="433" t="s">
        <v>565</v>
      </c>
      <c r="C49" s="769">
        <v>672</v>
      </c>
      <c r="D49" s="768">
        <v>-131</v>
      </c>
      <c r="E49" s="768">
        <v>-686</v>
      </c>
      <c r="F49" s="768">
        <v>-910</v>
      </c>
      <c r="G49" s="768">
        <v>-988</v>
      </c>
      <c r="H49" s="768">
        <v>-1236</v>
      </c>
      <c r="I49" s="767">
        <v>-3279</v>
      </c>
    </row>
    <row r="50" spans="2:9" ht="20.100000000000001" customHeight="1">
      <c r="B50" s="745">
        <v>2016</v>
      </c>
      <c r="C50" s="738"/>
      <c r="D50" s="738"/>
      <c r="E50" s="738"/>
      <c r="F50" s="738"/>
      <c r="G50" s="738"/>
      <c r="H50" s="738"/>
      <c r="I50" s="738"/>
    </row>
    <row r="51" spans="2:9" ht="20.100000000000001" customHeight="1">
      <c r="B51" s="760" t="s">
        <v>549</v>
      </c>
      <c r="C51" s="762">
        <v>1075</v>
      </c>
      <c r="D51" s="761" t="s">
        <v>14</v>
      </c>
      <c r="E51" s="761">
        <v>507</v>
      </c>
      <c r="F51" s="761">
        <v>613</v>
      </c>
      <c r="G51" s="761">
        <v>963</v>
      </c>
      <c r="H51" s="761">
        <v>2113</v>
      </c>
      <c r="I51" s="766">
        <v>5271</v>
      </c>
    </row>
    <row r="52" spans="2:9" s="435" customFormat="1" ht="19.5" customHeight="1">
      <c r="B52" s="755" t="s">
        <v>548</v>
      </c>
      <c r="C52" s="754">
        <v>3046</v>
      </c>
      <c r="D52" s="753">
        <v>72</v>
      </c>
      <c r="E52" s="753">
        <v>6826</v>
      </c>
      <c r="F52" s="753">
        <v>3033</v>
      </c>
      <c r="G52" s="753">
        <v>494</v>
      </c>
      <c r="H52" s="753">
        <v>444</v>
      </c>
      <c r="I52" s="765">
        <v>13915</v>
      </c>
    </row>
    <row r="53" spans="2:9" ht="20.100000000000001" customHeight="1">
      <c r="B53" s="433" t="s">
        <v>547</v>
      </c>
      <c r="C53" s="769">
        <v>4121</v>
      </c>
      <c r="D53" s="768">
        <v>72</v>
      </c>
      <c r="E53" s="768">
        <v>7333</v>
      </c>
      <c r="F53" s="768">
        <v>3646</v>
      </c>
      <c r="G53" s="768">
        <v>1457</v>
      </c>
      <c r="H53" s="768">
        <v>2557</v>
      </c>
      <c r="I53" s="767">
        <v>19186</v>
      </c>
    </row>
    <row r="54" spans="2:9" ht="20.100000000000001" customHeight="1">
      <c r="B54" s="760" t="s">
        <v>546</v>
      </c>
      <c r="C54" s="759">
        <v>-1083</v>
      </c>
      <c r="D54" s="758">
        <v>-30</v>
      </c>
      <c r="E54" s="758">
        <v>-1601</v>
      </c>
      <c r="F54" s="758">
        <v>-478</v>
      </c>
      <c r="G54" s="758">
        <v>-488</v>
      </c>
      <c r="H54" s="758">
        <v>-351</v>
      </c>
      <c r="I54" s="757">
        <v>-4031</v>
      </c>
    </row>
    <row r="55" spans="2:9" ht="20.100000000000001" customHeight="1">
      <c r="B55" s="760" t="s">
        <v>545</v>
      </c>
      <c r="C55" s="759">
        <v>-512</v>
      </c>
      <c r="D55" s="758">
        <v>-3</v>
      </c>
      <c r="E55" s="758">
        <v>-108</v>
      </c>
      <c r="F55" s="758">
        <v>-368</v>
      </c>
      <c r="G55" s="758">
        <v>-196</v>
      </c>
      <c r="H55" s="758">
        <v>-77</v>
      </c>
      <c r="I55" s="757">
        <v>-1264</v>
      </c>
    </row>
    <row r="56" spans="2:9" ht="20.100000000000001" customHeight="1">
      <c r="B56" s="760" t="s">
        <v>544</v>
      </c>
      <c r="C56" s="759">
        <v>-3421</v>
      </c>
      <c r="D56" s="758">
        <v>-89</v>
      </c>
      <c r="E56" s="758">
        <v>-4566</v>
      </c>
      <c r="F56" s="758">
        <v>-599</v>
      </c>
      <c r="G56" s="758">
        <v>-603</v>
      </c>
      <c r="H56" s="758">
        <v>-1191</v>
      </c>
      <c r="I56" s="757">
        <v>-10469</v>
      </c>
    </row>
    <row r="57" spans="2:9" ht="15.95" customHeight="1">
      <c r="B57" s="755" t="s">
        <v>562</v>
      </c>
      <c r="C57" s="754">
        <v>-339</v>
      </c>
      <c r="D57" s="753">
        <v>-8</v>
      </c>
      <c r="E57" s="753">
        <v>-615</v>
      </c>
      <c r="F57" s="753">
        <v>-2328</v>
      </c>
      <c r="G57" s="753">
        <v>-224</v>
      </c>
      <c r="H57" s="753">
        <v>-97</v>
      </c>
      <c r="I57" s="765">
        <v>-3611</v>
      </c>
    </row>
    <row r="58" spans="2:9" ht="18.95" customHeight="1">
      <c r="B58" s="433" t="s">
        <v>564</v>
      </c>
      <c r="C58" s="769">
        <v>-1234</v>
      </c>
      <c r="D58" s="768">
        <v>-58</v>
      </c>
      <c r="E58" s="768">
        <v>443</v>
      </c>
      <c r="F58" s="768">
        <v>-127</v>
      </c>
      <c r="G58" s="768">
        <v>-54</v>
      </c>
      <c r="H58" s="768">
        <v>841</v>
      </c>
      <c r="I58" s="767">
        <v>-189</v>
      </c>
    </row>
    <row r="59" spans="2:9" ht="15.95" customHeight="1">
      <c r="B59" s="755" t="s">
        <v>541</v>
      </c>
      <c r="C59" s="754">
        <v>818</v>
      </c>
      <c r="D59" s="753">
        <v>14</v>
      </c>
      <c r="E59" s="753">
        <v>-143</v>
      </c>
      <c r="F59" s="753">
        <v>-205</v>
      </c>
      <c r="G59" s="753">
        <v>-27</v>
      </c>
      <c r="H59" s="753">
        <v>-184</v>
      </c>
      <c r="I59" s="765">
        <v>273</v>
      </c>
    </row>
    <row r="60" spans="2:9" ht="20.100000000000001" customHeight="1">
      <c r="B60" s="433" t="s">
        <v>563</v>
      </c>
      <c r="C60" s="769">
        <v>-416</v>
      </c>
      <c r="D60" s="768">
        <v>-44</v>
      </c>
      <c r="E60" s="768">
        <v>300</v>
      </c>
      <c r="F60" s="768">
        <v>-332</v>
      </c>
      <c r="G60" s="768">
        <v>-81</v>
      </c>
      <c r="H60" s="768">
        <v>657</v>
      </c>
      <c r="I60" s="767">
        <v>84</v>
      </c>
    </row>
    <row r="61" spans="2:9" ht="20.100000000000001" customHeight="1">
      <c r="B61" s="744">
        <v>2017</v>
      </c>
      <c r="C61" s="738"/>
      <c r="D61" s="738"/>
      <c r="E61" s="738"/>
      <c r="F61" s="738"/>
      <c r="G61" s="738"/>
      <c r="H61" s="738"/>
      <c r="I61" s="738"/>
    </row>
    <row r="62" spans="2:9" ht="20.100000000000001" customHeight="1">
      <c r="B62" s="760" t="s">
        <v>549</v>
      </c>
      <c r="C62" s="762">
        <v>1454</v>
      </c>
      <c r="D62" s="761">
        <v>0</v>
      </c>
      <c r="E62" s="761">
        <v>975</v>
      </c>
      <c r="F62" s="761">
        <v>934</v>
      </c>
      <c r="G62" s="761">
        <v>1335</v>
      </c>
      <c r="H62" s="761">
        <v>2160</v>
      </c>
      <c r="I62" s="766">
        <v>6858</v>
      </c>
    </row>
    <row r="63" spans="2:9" s="435" customFormat="1" ht="19.5" customHeight="1">
      <c r="B63" s="755" t="s">
        <v>548</v>
      </c>
      <c r="C63" s="754">
        <v>3932</v>
      </c>
      <c r="D63" s="753">
        <v>41</v>
      </c>
      <c r="E63" s="753">
        <v>8486</v>
      </c>
      <c r="F63" s="753">
        <v>3706</v>
      </c>
      <c r="G63" s="753">
        <v>821</v>
      </c>
      <c r="H63" s="753">
        <v>453</v>
      </c>
      <c r="I63" s="765">
        <v>17439</v>
      </c>
    </row>
    <row r="64" spans="2:9" ht="20.100000000000001" customHeight="1">
      <c r="B64" s="751" t="s">
        <v>547</v>
      </c>
      <c r="C64" s="586">
        <v>5386</v>
      </c>
      <c r="D64" s="585">
        <v>41</v>
      </c>
      <c r="E64" s="585">
        <v>9461</v>
      </c>
      <c r="F64" s="585">
        <v>4640</v>
      </c>
      <c r="G64" s="585">
        <v>2156</v>
      </c>
      <c r="H64" s="585">
        <v>2613</v>
      </c>
      <c r="I64" s="697">
        <v>24297</v>
      </c>
    </row>
    <row r="65" spans="2:9" ht="20.100000000000001" customHeight="1">
      <c r="B65" s="760" t="s">
        <v>546</v>
      </c>
      <c r="C65" s="759">
        <v>-1072</v>
      </c>
      <c r="D65" s="758">
        <v>-14</v>
      </c>
      <c r="E65" s="758">
        <v>-1350</v>
      </c>
      <c r="F65" s="758">
        <v>-434</v>
      </c>
      <c r="G65" s="758">
        <v>-601</v>
      </c>
      <c r="H65" s="758">
        <v>-318</v>
      </c>
      <c r="I65" s="757">
        <v>-3789</v>
      </c>
    </row>
    <row r="66" spans="2:9" ht="20.100000000000001" customHeight="1">
      <c r="B66" s="760" t="s">
        <v>545</v>
      </c>
      <c r="C66" s="759">
        <v>-419</v>
      </c>
      <c r="D66" s="758">
        <v>-2</v>
      </c>
      <c r="E66" s="758">
        <v>-164</v>
      </c>
      <c r="F66" s="758">
        <v>-10</v>
      </c>
      <c r="G66" s="758">
        <v>-193</v>
      </c>
      <c r="H66" s="758">
        <v>-76</v>
      </c>
      <c r="I66" s="757">
        <v>-864</v>
      </c>
    </row>
    <row r="67" spans="2:9" ht="20.100000000000001" customHeight="1">
      <c r="B67" s="755" t="s">
        <v>544</v>
      </c>
      <c r="C67" s="754">
        <v>-2928</v>
      </c>
      <c r="D67" s="753">
        <v>-36</v>
      </c>
      <c r="E67" s="753">
        <v>-5790</v>
      </c>
      <c r="F67" s="753">
        <v>-511</v>
      </c>
      <c r="G67" s="753">
        <v>-2569</v>
      </c>
      <c r="H67" s="753">
        <v>-820</v>
      </c>
      <c r="I67" s="765">
        <v>-12654</v>
      </c>
    </row>
    <row r="68" spans="2:9" ht="15.95" customHeight="1">
      <c r="B68" s="648" t="s">
        <v>562</v>
      </c>
      <c r="C68" s="341">
        <v>-352</v>
      </c>
      <c r="D68" s="341">
        <v>-7</v>
      </c>
      <c r="E68" s="341">
        <v>-775</v>
      </c>
      <c r="F68" s="341">
        <v>-2619</v>
      </c>
      <c r="G68" s="341">
        <v>-338</v>
      </c>
      <c r="H68" s="341">
        <v>-121</v>
      </c>
      <c r="I68" s="765">
        <v>-4212</v>
      </c>
    </row>
    <row r="69" spans="2:9" ht="18.95" customHeight="1">
      <c r="B69" s="751" t="s">
        <v>561</v>
      </c>
      <c r="C69" s="586">
        <v>615</v>
      </c>
      <c r="D69" s="585">
        <v>-18</v>
      </c>
      <c r="E69" s="585">
        <v>1382</v>
      </c>
      <c r="F69" s="585">
        <v>1066</v>
      </c>
      <c r="G69" s="585">
        <v>-1545</v>
      </c>
      <c r="H69" s="585">
        <v>1278</v>
      </c>
      <c r="I69" s="697">
        <v>2778</v>
      </c>
    </row>
    <row r="70" spans="2:9" ht="15.95" customHeight="1">
      <c r="B70" s="755" t="s">
        <v>541</v>
      </c>
      <c r="C70" s="754">
        <v>-776</v>
      </c>
      <c r="D70" s="753">
        <v>-2</v>
      </c>
      <c r="E70" s="753">
        <v>-853</v>
      </c>
      <c r="F70" s="753">
        <v>-469</v>
      </c>
      <c r="G70" s="753">
        <v>387</v>
      </c>
      <c r="H70" s="753">
        <v>-482</v>
      </c>
      <c r="I70" s="753">
        <v>-2195</v>
      </c>
    </row>
    <row r="71" spans="2:9" ht="20.100000000000001" customHeight="1">
      <c r="B71" s="751" t="s">
        <v>560</v>
      </c>
      <c r="C71" s="586">
        <v>-161</v>
      </c>
      <c r="D71" s="585">
        <v>-20</v>
      </c>
      <c r="E71" s="585">
        <v>529</v>
      </c>
      <c r="F71" s="585">
        <v>597</v>
      </c>
      <c r="G71" s="585">
        <v>-1158</v>
      </c>
      <c r="H71" s="585">
        <v>796</v>
      </c>
      <c r="I71" s="585">
        <v>583</v>
      </c>
    </row>
    <row r="72" spans="2:9" ht="20.100000000000001" customHeight="1">
      <c r="B72" s="764" t="s">
        <v>559</v>
      </c>
    </row>
    <row r="73" spans="2:9" ht="20.100000000000001" customHeight="1">
      <c r="B73" s="764" t="s">
        <v>558</v>
      </c>
    </row>
    <row r="74" spans="2:9" ht="20.100000000000001" customHeight="1">
      <c r="B74" s="764" t="s">
        <v>557</v>
      </c>
    </row>
    <row r="75" spans="2:9" ht="20.100000000000001" customHeight="1">
      <c r="B75" s="764" t="s">
        <v>556</v>
      </c>
    </row>
    <row r="76" spans="2:9" ht="20.100000000000001" customHeight="1">
      <c r="B76" s="764" t="s">
        <v>555</v>
      </c>
    </row>
    <row r="77" spans="2:9" ht="20.100000000000001" customHeight="1">
      <c r="B77" s="764" t="s">
        <v>554</v>
      </c>
    </row>
    <row r="78" spans="2:9" ht="20.100000000000001" customHeight="1">
      <c r="B78" s="764" t="s">
        <v>553</v>
      </c>
    </row>
    <row r="79" spans="2:9" ht="20.100000000000001" customHeight="1">
      <c r="B79" s="696" t="s">
        <v>13</v>
      </c>
      <c r="C79" s="1192" t="s">
        <v>469</v>
      </c>
      <c r="D79" s="1192"/>
      <c r="E79" s="1192"/>
      <c r="F79" s="1192"/>
      <c r="G79" s="1192"/>
      <c r="H79" s="1192"/>
      <c r="I79" s="1192"/>
    </row>
    <row r="80" spans="2:9" ht="40.5" customHeight="1">
      <c r="B80" s="739" t="s">
        <v>552</v>
      </c>
      <c r="C80" s="694" t="s">
        <v>551</v>
      </c>
      <c r="D80" s="693" t="s">
        <v>421</v>
      </c>
      <c r="E80" s="694" t="s">
        <v>481</v>
      </c>
      <c r="F80" s="694" t="s">
        <v>480</v>
      </c>
      <c r="G80" s="694" t="s">
        <v>443</v>
      </c>
      <c r="H80" s="693" t="s">
        <v>434</v>
      </c>
      <c r="I80" s="693" t="s">
        <v>36</v>
      </c>
    </row>
    <row r="81" spans="2:9" ht="20.100000000000001" customHeight="1">
      <c r="B81" s="223" t="s">
        <v>550</v>
      </c>
      <c r="C81" s="222" t="s">
        <v>14</v>
      </c>
      <c r="D81" s="763">
        <v>44</v>
      </c>
      <c r="E81" s="763" t="s">
        <v>14</v>
      </c>
      <c r="F81" s="763">
        <v>1438</v>
      </c>
      <c r="G81" s="763">
        <v>299</v>
      </c>
      <c r="H81" s="763" t="s">
        <v>14</v>
      </c>
      <c r="I81" s="757">
        <v>1781</v>
      </c>
    </row>
    <row r="82" spans="2:9" ht="20.100000000000001" customHeight="1">
      <c r="B82" s="223">
        <v>2013</v>
      </c>
      <c r="C82" s="222" t="s">
        <v>14</v>
      </c>
      <c r="D82" s="222">
        <v>223</v>
      </c>
      <c r="E82" s="222" t="s">
        <v>14</v>
      </c>
      <c r="F82" s="222">
        <v>1867</v>
      </c>
      <c r="G82" s="222">
        <v>105</v>
      </c>
      <c r="H82" s="222" t="s">
        <v>14</v>
      </c>
      <c r="I82" s="757">
        <v>2195</v>
      </c>
    </row>
    <row r="83" spans="2:9" ht="20.100000000000001" customHeight="1">
      <c r="B83" s="223">
        <v>2014</v>
      </c>
      <c r="C83" s="222" t="s">
        <v>14</v>
      </c>
      <c r="D83" s="222">
        <v>410</v>
      </c>
      <c r="E83" s="222">
        <v>-21</v>
      </c>
      <c r="F83" s="222">
        <v>1838</v>
      </c>
      <c r="G83" s="222">
        <v>-69</v>
      </c>
      <c r="H83" s="222" t="s">
        <v>14</v>
      </c>
      <c r="I83" s="757">
        <v>2158</v>
      </c>
    </row>
    <row r="84" spans="2:9" ht="20.100000000000001" customHeight="1">
      <c r="B84" s="223">
        <v>2015</v>
      </c>
      <c r="C84" s="222" t="s">
        <v>14</v>
      </c>
      <c r="D84" s="222">
        <v>285</v>
      </c>
      <c r="E84" s="222" t="s">
        <v>14</v>
      </c>
      <c r="F84" s="222">
        <v>699</v>
      </c>
      <c r="G84" s="222">
        <v>32</v>
      </c>
      <c r="H84" s="222" t="s">
        <v>14</v>
      </c>
      <c r="I84" s="757">
        <v>1016</v>
      </c>
    </row>
    <row r="85" spans="2:9" ht="20.100000000000001" customHeight="1">
      <c r="B85" s="223">
        <v>2016</v>
      </c>
      <c r="C85" s="222" t="s">
        <v>14</v>
      </c>
      <c r="D85" s="222">
        <v>398</v>
      </c>
      <c r="E85" s="222" t="s">
        <v>14</v>
      </c>
      <c r="F85" s="222">
        <v>380</v>
      </c>
      <c r="G85" s="222">
        <v>102</v>
      </c>
      <c r="H85" s="222" t="s">
        <v>14</v>
      </c>
      <c r="I85" s="757">
        <v>880</v>
      </c>
    </row>
    <row r="86" spans="2:9" ht="20.100000000000001" customHeight="1">
      <c r="B86" s="744">
        <v>2017</v>
      </c>
      <c r="C86" s="738"/>
      <c r="D86" s="738"/>
      <c r="E86" s="738"/>
      <c r="F86" s="738"/>
      <c r="G86" s="738"/>
      <c r="H86" s="738"/>
      <c r="I86" s="738"/>
    </row>
    <row r="87" spans="2:9" ht="20.100000000000001" customHeight="1">
      <c r="B87" s="760" t="s">
        <v>549</v>
      </c>
      <c r="C87" s="762" t="s">
        <v>14</v>
      </c>
      <c r="D87" s="761">
        <v>1027</v>
      </c>
      <c r="E87" s="761">
        <v>81</v>
      </c>
      <c r="F87" s="761">
        <v>1526</v>
      </c>
      <c r="G87" s="761">
        <v>351</v>
      </c>
      <c r="H87" s="761" t="s">
        <v>14</v>
      </c>
      <c r="I87" s="752">
        <v>2985</v>
      </c>
    </row>
    <row r="88" spans="2:9" ht="20.100000000000001" customHeight="1">
      <c r="B88" s="755" t="s">
        <v>548</v>
      </c>
      <c r="C88" s="754" t="s">
        <v>14</v>
      </c>
      <c r="D88" s="753">
        <v>8</v>
      </c>
      <c r="E88" s="753" t="s">
        <v>14</v>
      </c>
      <c r="F88" s="753">
        <v>2247</v>
      </c>
      <c r="G88" s="753">
        <v>19</v>
      </c>
      <c r="H88" s="753" t="s">
        <v>14</v>
      </c>
      <c r="I88" s="752">
        <v>2274</v>
      </c>
    </row>
    <row r="89" spans="2:9" ht="20.100000000000001" customHeight="1">
      <c r="B89" s="751" t="s">
        <v>547</v>
      </c>
      <c r="C89" s="586" t="s">
        <v>14</v>
      </c>
      <c r="D89" s="585">
        <v>1034</v>
      </c>
      <c r="E89" s="585">
        <v>81</v>
      </c>
      <c r="F89" s="585">
        <v>3774</v>
      </c>
      <c r="G89" s="585">
        <v>370</v>
      </c>
      <c r="H89" s="585" t="s">
        <v>14</v>
      </c>
      <c r="I89" s="585">
        <v>5259</v>
      </c>
    </row>
    <row r="90" spans="2:9" ht="20.100000000000001" customHeight="1">
      <c r="B90" s="760" t="s">
        <v>546</v>
      </c>
      <c r="C90" s="759" t="s">
        <v>14</v>
      </c>
      <c r="D90" s="758">
        <v>-106</v>
      </c>
      <c r="E90" s="758" t="s">
        <v>14</v>
      </c>
      <c r="F90" s="758">
        <v>-283</v>
      </c>
      <c r="G90" s="758">
        <v>-55</v>
      </c>
      <c r="H90" s="758" t="s">
        <v>14</v>
      </c>
      <c r="I90" s="757">
        <v>-444</v>
      </c>
    </row>
    <row r="91" spans="2:9" ht="20.100000000000001" customHeight="1">
      <c r="B91" s="760" t="s">
        <v>545</v>
      </c>
      <c r="C91" s="759" t="s">
        <v>14</v>
      </c>
      <c r="D91" s="758">
        <v>-5</v>
      </c>
      <c r="E91" s="758" t="s">
        <v>14</v>
      </c>
      <c r="F91" s="758" t="s">
        <v>14</v>
      </c>
      <c r="G91" s="758" t="s">
        <v>14</v>
      </c>
      <c r="H91" s="758" t="s">
        <v>14</v>
      </c>
      <c r="I91" s="757">
        <v>-5</v>
      </c>
    </row>
    <row r="92" spans="2:9" ht="20.100000000000001" customHeight="1">
      <c r="B92" s="760" t="s">
        <v>544</v>
      </c>
      <c r="C92" s="759" t="s">
        <v>14</v>
      </c>
      <c r="D92" s="758">
        <v>-149</v>
      </c>
      <c r="E92" s="758" t="s">
        <v>14</v>
      </c>
      <c r="F92" s="758">
        <v>-423</v>
      </c>
      <c r="G92" s="758">
        <v>-88</v>
      </c>
      <c r="H92" s="758" t="s">
        <v>14</v>
      </c>
      <c r="I92" s="757">
        <v>-660</v>
      </c>
    </row>
    <row r="93" spans="2:9" ht="20.100000000000001" customHeight="1">
      <c r="B93" s="755" t="s">
        <v>543</v>
      </c>
      <c r="C93" s="754" t="s">
        <v>14</v>
      </c>
      <c r="D93" s="753">
        <v>-187</v>
      </c>
      <c r="E93" s="753">
        <v>-9</v>
      </c>
      <c r="F93" s="753">
        <v>-2309</v>
      </c>
      <c r="G93" s="753">
        <v>-159</v>
      </c>
      <c r="H93" s="753" t="s">
        <v>14</v>
      </c>
      <c r="I93" s="756">
        <v>-2664</v>
      </c>
    </row>
    <row r="94" spans="2:9" ht="20.100000000000001" customHeight="1">
      <c r="B94" s="751" t="s">
        <v>542</v>
      </c>
      <c r="C94" s="586" t="s">
        <v>14</v>
      </c>
      <c r="D94" s="585">
        <v>587</v>
      </c>
      <c r="E94" s="585">
        <v>72</v>
      </c>
      <c r="F94" s="585">
        <v>759</v>
      </c>
      <c r="G94" s="585">
        <v>67</v>
      </c>
      <c r="H94" s="585" t="s">
        <v>14</v>
      </c>
      <c r="I94" s="585">
        <v>1485</v>
      </c>
    </row>
    <row r="95" spans="2:9" ht="20.100000000000001" customHeight="1">
      <c r="B95" s="755" t="s">
        <v>541</v>
      </c>
      <c r="C95" s="754" t="s">
        <v>14</v>
      </c>
      <c r="D95" s="753">
        <v>-104</v>
      </c>
      <c r="E95" s="753" t="s">
        <v>14</v>
      </c>
      <c r="F95" s="753">
        <v>-212</v>
      </c>
      <c r="G95" s="753">
        <v>-5</v>
      </c>
      <c r="H95" s="753" t="s">
        <v>14</v>
      </c>
      <c r="I95" s="752">
        <v>-321</v>
      </c>
    </row>
    <row r="96" spans="2:9" ht="20.100000000000001" customHeight="1">
      <c r="B96" s="751" t="s">
        <v>540</v>
      </c>
      <c r="C96" s="586" t="s">
        <v>14</v>
      </c>
      <c r="D96" s="585">
        <v>483</v>
      </c>
      <c r="E96" s="585">
        <v>72</v>
      </c>
      <c r="F96" s="585">
        <v>547</v>
      </c>
      <c r="G96" s="585">
        <v>62</v>
      </c>
      <c r="H96" s="585" t="s">
        <v>14</v>
      </c>
      <c r="I96" s="585">
        <v>1164</v>
      </c>
    </row>
    <row r="98" spans="2:8" ht="20.100000000000001" customHeight="1">
      <c r="B98" s="1199" t="s">
        <v>539</v>
      </c>
      <c r="C98" s="1200"/>
      <c r="D98" s="1200"/>
      <c r="E98" s="1200"/>
      <c r="F98" s="1200"/>
      <c r="G98" s="1200"/>
      <c r="H98" s="1200"/>
    </row>
  </sheetData>
  <mergeCells count="4">
    <mergeCell ref="B2:H2"/>
    <mergeCell ref="C4:I4"/>
    <mergeCell ref="C79:I79"/>
    <mergeCell ref="B98:H98"/>
  </mergeCells>
  <pageMargins left="0.75" right="0.75" top="1" bottom="1" header="0.5" footer="0.5"/>
  <pageSetup paperSize="9" scale="45" orientation="portrait" horizontalDpi="4294967292" verticalDpi="4294967292" r:id="rId1"/>
  <rowBreaks count="1" manualBreakCount="1">
    <brk id="78" max="16383" man="1"/>
  </rowBreaks>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46">
    <tabColor rgb="FF733E8D"/>
  </sheetPr>
  <dimension ref="B2:J59"/>
  <sheetViews>
    <sheetView showGridLines="0" view="pageBreakPreview" zoomScaleNormal="140" zoomScaleSheetLayoutView="100" zoomScalePageLayoutView="140" workbookViewId="0">
      <selection activeCell="B15" sqref="B15"/>
    </sheetView>
  </sheetViews>
  <sheetFormatPr defaultColWidth="10.875" defaultRowHeight="20.100000000000001" customHeight="1"/>
  <cols>
    <col min="1" max="1" width="5.5" style="468" customWidth="1"/>
    <col min="2" max="2" width="39.375" style="468" customWidth="1"/>
    <col min="3" max="16384" width="10.875" style="468"/>
  </cols>
  <sheetData>
    <row r="2" spans="2:9" ht="20.100000000000001" customHeight="1">
      <c r="B2" s="1156" t="s">
        <v>585</v>
      </c>
      <c r="C2" s="1156"/>
      <c r="D2" s="1156"/>
      <c r="E2" s="1156"/>
      <c r="F2" s="1156"/>
      <c r="G2" s="1156"/>
      <c r="H2" s="1156"/>
      <c r="I2" s="1156"/>
    </row>
    <row r="3" spans="2:9" ht="20.100000000000001" customHeight="1">
      <c r="B3" s="60" t="s">
        <v>584</v>
      </c>
      <c r="C3" s="466"/>
      <c r="D3" s="466"/>
      <c r="E3" s="466"/>
      <c r="F3" s="466"/>
      <c r="G3" s="466"/>
      <c r="H3" s="466"/>
      <c r="I3" s="466"/>
    </row>
    <row r="4" spans="2:9" ht="20.100000000000001" customHeight="1">
      <c r="B4" s="715" t="s">
        <v>583</v>
      </c>
    </row>
    <row r="5" spans="2:9" ht="42.95" customHeight="1">
      <c r="B5" s="700" t="s">
        <v>13</v>
      </c>
      <c r="C5" s="1201" t="s">
        <v>470</v>
      </c>
      <c r="D5" s="1201"/>
      <c r="E5" s="1201"/>
      <c r="F5" s="1201"/>
      <c r="G5" s="1201"/>
      <c r="H5" s="1201"/>
      <c r="I5" s="1201"/>
    </row>
    <row r="6" spans="2:9" ht="62.25" customHeight="1">
      <c r="B6" s="652"/>
      <c r="C6" s="694" t="s">
        <v>482</v>
      </c>
      <c r="D6" s="693" t="s">
        <v>421</v>
      </c>
      <c r="E6" s="694" t="s">
        <v>481</v>
      </c>
      <c r="F6" s="694" t="s">
        <v>480</v>
      </c>
      <c r="G6" s="694" t="s">
        <v>443</v>
      </c>
      <c r="H6" s="693" t="s">
        <v>434</v>
      </c>
      <c r="I6" s="693" t="s">
        <v>36</v>
      </c>
    </row>
    <row r="7" spans="2:9" ht="20.100000000000001" customHeight="1">
      <c r="B7" s="745">
        <v>2012</v>
      </c>
      <c r="C7" s="780"/>
      <c r="D7" s="780"/>
      <c r="E7" s="780"/>
      <c r="F7" s="780"/>
      <c r="G7" s="780"/>
      <c r="H7" s="780"/>
      <c r="I7" s="780"/>
    </row>
    <row r="8" spans="2:9" ht="20.100000000000001" customHeight="1">
      <c r="B8" s="363" t="s">
        <v>582</v>
      </c>
      <c r="C8" s="779">
        <v>275</v>
      </c>
      <c r="D8" s="778" t="s">
        <v>14</v>
      </c>
      <c r="E8" s="778">
        <v>25</v>
      </c>
      <c r="F8" s="778">
        <v>10</v>
      </c>
      <c r="G8" s="778" t="s">
        <v>14</v>
      </c>
      <c r="H8" s="778" t="s">
        <v>14</v>
      </c>
      <c r="I8" s="32">
        <v>310</v>
      </c>
    </row>
    <row r="9" spans="2:9" ht="20.100000000000001" customHeight="1">
      <c r="B9" s="363" t="s">
        <v>579</v>
      </c>
      <c r="C9" s="661">
        <v>82</v>
      </c>
      <c r="D9" s="366" t="s">
        <v>14</v>
      </c>
      <c r="E9" s="366">
        <v>1747</v>
      </c>
      <c r="F9" s="366">
        <v>228</v>
      </c>
      <c r="G9" s="366">
        <v>494</v>
      </c>
      <c r="H9" s="366">
        <v>3</v>
      </c>
      <c r="I9" s="32">
        <v>2554</v>
      </c>
    </row>
    <row r="10" spans="2:9" ht="20.100000000000001" customHeight="1">
      <c r="B10" s="363" t="s">
        <v>24</v>
      </c>
      <c r="C10" s="661">
        <v>889</v>
      </c>
      <c r="D10" s="366">
        <v>3</v>
      </c>
      <c r="E10" s="366">
        <v>615</v>
      </c>
      <c r="F10" s="366">
        <v>172</v>
      </c>
      <c r="G10" s="366">
        <v>734</v>
      </c>
      <c r="H10" s="366">
        <v>313</v>
      </c>
      <c r="I10" s="32">
        <v>2726</v>
      </c>
    </row>
    <row r="11" spans="2:9" ht="20.100000000000001" customHeight="1">
      <c r="B11" s="365" t="s">
        <v>578</v>
      </c>
      <c r="C11" s="664">
        <v>5103</v>
      </c>
      <c r="D11" s="367">
        <v>107</v>
      </c>
      <c r="E11" s="367">
        <v>5486</v>
      </c>
      <c r="F11" s="367">
        <v>471</v>
      </c>
      <c r="G11" s="367">
        <v>2351</v>
      </c>
      <c r="H11" s="367">
        <v>2324</v>
      </c>
      <c r="I11" s="663">
        <v>15842</v>
      </c>
    </row>
    <row r="12" spans="2:9" ht="20.100000000000001" customHeight="1">
      <c r="B12" s="777" t="s">
        <v>577</v>
      </c>
      <c r="C12" s="687">
        <v>6349</v>
      </c>
      <c r="D12" s="676">
        <v>110</v>
      </c>
      <c r="E12" s="676">
        <v>7873</v>
      </c>
      <c r="F12" s="676">
        <v>881</v>
      </c>
      <c r="G12" s="676">
        <v>3579</v>
      </c>
      <c r="H12" s="676">
        <v>2640</v>
      </c>
      <c r="I12" s="686">
        <v>21432</v>
      </c>
    </row>
    <row r="13" spans="2:9" ht="20.100000000000001" customHeight="1">
      <c r="B13" s="745">
        <v>2013</v>
      </c>
      <c r="C13" s="666"/>
      <c r="D13" s="666"/>
      <c r="E13" s="666"/>
      <c r="F13" s="666"/>
      <c r="G13" s="666"/>
      <c r="H13" s="666"/>
      <c r="I13" s="666"/>
    </row>
    <row r="14" spans="2:9" ht="20.100000000000001" customHeight="1">
      <c r="B14" s="363" t="s">
        <v>580</v>
      </c>
      <c r="C14" s="776">
        <v>20</v>
      </c>
      <c r="D14" s="776" t="s">
        <v>14</v>
      </c>
      <c r="E14" s="589">
        <v>171</v>
      </c>
      <c r="F14" s="589">
        <v>7</v>
      </c>
      <c r="G14" s="589" t="s">
        <v>14</v>
      </c>
      <c r="H14" s="589">
        <v>467</v>
      </c>
      <c r="I14" s="32">
        <v>665</v>
      </c>
    </row>
    <row r="15" spans="2:9" ht="20.100000000000001" customHeight="1">
      <c r="B15" s="363" t="s">
        <v>579</v>
      </c>
      <c r="C15" s="661">
        <v>50</v>
      </c>
      <c r="D15" s="661" t="s">
        <v>14</v>
      </c>
      <c r="E15" s="366">
        <v>512</v>
      </c>
      <c r="F15" s="366">
        <v>85</v>
      </c>
      <c r="G15" s="366">
        <v>2105</v>
      </c>
      <c r="H15" s="366">
        <v>52</v>
      </c>
      <c r="I15" s="32">
        <v>2804</v>
      </c>
    </row>
    <row r="16" spans="2:9" ht="20.100000000000001" customHeight="1">
      <c r="B16" s="363" t="s">
        <v>24</v>
      </c>
      <c r="C16" s="661">
        <v>708</v>
      </c>
      <c r="D16" s="661">
        <v>4</v>
      </c>
      <c r="E16" s="366">
        <v>605</v>
      </c>
      <c r="F16" s="366">
        <v>515</v>
      </c>
      <c r="G16" s="366">
        <v>585</v>
      </c>
      <c r="H16" s="366">
        <v>509</v>
      </c>
      <c r="I16" s="32">
        <v>2926</v>
      </c>
    </row>
    <row r="17" spans="2:9" ht="20.100000000000001" customHeight="1">
      <c r="B17" s="365" t="s">
        <v>578</v>
      </c>
      <c r="C17" s="664">
        <v>6520</v>
      </c>
      <c r="D17" s="664">
        <v>147</v>
      </c>
      <c r="E17" s="367">
        <v>8422</v>
      </c>
      <c r="F17" s="367">
        <v>587</v>
      </c>
      <c r="G17" s="367">
        <v>3191</v>
      </c>
      <c r="H17" s="367">
        <v>3114</v>
      </c>
      <c r="I17" s="663">
        <v>21981</v>
      </c>
    </row>
    <row r="18" spans="2:9" ht="20.100000000000001" customHeight="1">
      <c r="B18" s="433" t="s">
        <v>577</v>
      </c>
      <c r="C18" s="687">
        <v>7298</v>
      </c>
      <c r="D18" s="676">
        <v>151</v>
      </c>
      <c r="E18" s="676">
        <v>9710</v>
      </c>
      <c r="F18" s="676">
        <v>1194</v>
      </c>
      <c r="G18" s="676">
        <v>5881</v>
      </c>
      <c r="H18" s="676">
        <v>4142</v>
      </c>
      <c r="I18" s="686">
        <v>28376</v>
      </c>
    </row>
    <row r="19" spans="2:9" ht="20.100000000000001" customHeight="1">
      <c r="B19" s="745">
        <v>2014</v>
      </c>
      <c r="C19" s="666"/>
      <c r="D19" s="666"/>
      <c r="E19" s="666"/>
      <c r="F19" s="666"/>
      <c r="G19" s="666"/>
      <c r="H19" s="666"/>
      <c r="I19" s="666"/>
    </row>
    <row r="20" spans="2:9" ht="20.100000000000001" customHeight="1">
      <c r="B20" s="363" t="s">
        <v>580</v>
      </c>
      <c r="C20" s="776">
        <v>80</v>
      </c>
      <c r="D20" s="776" t="s">
        <v>14</v>
      </c>
      <c r="E20" s="589">
        <v>17</v>
      </c>
      <c r="F20" s="589">
        <v>-1</v>
      </c>
      <c r="G20" s="589" t="s">
        <v>14</v>
      </c>
      <c r="H20" s="589">
        <v>9</v>
      </c>
      <c r="I20" s="32">
        <v>105</v>
      </c>
    </row>
    <row r="21" spans="2:9" ht="20.100000000000001" customHeight="1">
      <c r="B21" s="363" t="s">
        <v>579</v>
      </c>
      <c r="C21" s="661">
        <v>82</v>
      </c>
      <c r="D21" s="661" t="s">
        <v>14</v>
      </c>
      <c r="E21" s="366">
        <v>69</v>
      </c>
      <c r="F21" s="366">
        <v>7</v>
      </c>
      <c r="G21" s="366">
        <v>544</v>
      </c>
      <c r="H21" s="366">
        <v>1</v>
      </c>
      <c r="I21" s="32">
        <v>703</v>
      </c>
    </row>
    <row r="22" spans="2:9" ht="20.100000000000001" customHeight="1">
      <c r="B22" s="363" t="s">
        <v>24</v>
      </c>
      <c r="C22" s="661">
        <v>500</v>
      </c>
      <c r="D22" s="661">
        <v>9</v>
      </c>
      <c r="E22" s="366">
        <v>882</v>
      </c>
      <c r="F22" s="366">
        <v>403</v>
      </c>
      <c r="G22" s="366">
        <v>375</v>
      </c>
      <c r="H22" s="366">
        <v>451</v>
      </c>
      <c r="I22" s="32">
        <v>2620</v>
      </c>
    </row>
    <row r="23" spans="2:9" ht="20.100000000000001" customHeight="1">
      <c r="B23" s="365" t="s">
        <v>578</v>
      </c>
      <c r="C23" s="664">
        <v>5151</v>
      </c>
      <c r="D23" s="664">
        <v>116</v>
      </c>
      <c r="E23" s="367">
        <v>8037</v>
      </c>
      <c r="F23" s="367">
        <v>567</v>
      </c>
      <c r="G23" s="367">
        <v>3468</v>
      </c>
      <c r="H23" s="367">
        <v>3024</v>
      </c>
      <c r="I23" s="663">
        <v>20363</v>
      </c>
    </row>
    <row r="24" spans="2:9" ht="20.100000000000001" customHeight="1">
      <c r="B24" s="433" t="s">
        <v>577</v>
      </c>
      <c r="C24" s="687">
        <v>5813</v>
      </c>
      <c r="D24" s="676">
        <v>125</v>
      </c>
      <c r="E24" s="676">
        <v>9005</v>
      </c>
      <c r="F24" s="676">
        <v>976</v>
      </c>
      <c r="G24" s="676">
        <v>4387</v>
      </c>
      <c r="H24" s="676">
        <v>3485</v>
      </c>
      <c r="I24" s="686">
        <v>23791</v>
      </c>
    </row>
    <row r="25" spans="2:9" ht="20.100000000000001" customHeight="1">
      <c r="B25" s="745">
        <v>2015</v>
      </c>
      <c r="C25" s="666"/>
      <c r="D25" s="666"/>
      <c r="E25" s="666"/>
      <c r="F25" s="666"/>
      <c r="G25" s="666"/>
      <c r="H25" s="666"/>
      <c r="I25" s="666"/>
    </row>
    <row r="26" spans="2:9" ht="20.100000000000001" customHeight="1">
      <c r="B26" s="363" t="s">
        <v>580</v>
      </c>
      <c r="C26" s="776">
        <v>57</v>
      </c>
      <c r="D26" s="776" t="s">
        <v>14</v>
      </c>
      <c r="E26" s="589">
        <v>59</v>
      </c>
      <c r="F26" s="589">
        <v>1039</v>
      </c>
      <c r="G26" s="589" t="s">
        <v>14</v>
      </c>
      <c r="H26" s="589">
        <v>10</v>
      </c>
      <c r="I26" s="32">
        <v>1165</v>
      </c>
    </row>
    <row r="27" spans="2:9" ht="20.100000000000001" customHeight="1">
      <c r="B27" s="363" t="s">
        <v>579</v>
      </c>
      <c r="C27" s="661" t="s">
        <v>14</v>
      </c>
      <c r="D27" s="661">
        <v>4</v>
      </c>
      <c r="E27" s="366">
        <v>26</v>
      </c>
      <c r="F27" s="366">
        <v>1205</v>
      </c>
      <c r="G27" s="366">
        <v>199</v>
      </c>
      <c r="H27" s="366">
        <v>4</v>
      </c>
      <c r="I27" s="32">
        <v>1438</v>
      </c>
    </row>
    <row r="28" spans="2:9" ht="20.100000000000001" customHeight="1">
      <c r="B28" s="363" t="s">
        <v>24</v>
      </c>
      <c r="C28" s="661">
        <v>618</v>
      </c>
      <c r="D28" s="661">
        <v>3</v>
      </c>
      <c r="E28" s="366">
        <v>287</v>
      </c>
      <c r="F28" s="366">
        <v>263</v>
      </c>
      <c r="G28" s="366">
        <v>515</v>
      </c>
      <c r="H28" s="366">
        <v>261</v>
      </c>
      <c r="I28" s="32">
        <v>1947</v>
      </c>
    </row>
    <row r="29" spans="2:9" ht="20.100000000000001" customHeight="1">
      <c r="B29" s="365" t="s">
        <v>578</v>
      </c>
      <c r="C29" s="664">
        <v>4735</v>
      </c>
      <c r="D29" s="664">
        <v>97</v>
      </c>
      <c r="E29" s="367">
        <v>7582</v>
      </c>
      <c r="F29" s="367">
        <v>600</v>
      </c>
      <c r="G29" s="367">
        <v>3143</v>
      </c>
      <c r="H29" s="367">
        <v>2381</v>
      </c>
      <c r="I29" s="663">
        <v>18538</v>
      </c>
    </row>
    <row r="30" spans="2:9" ht="20.100000000000001" customHeight="1">
      <c r="B30" s="433" t="s">
        <v>577</v>
      </c>
      <c r="C30" s="687">
        <v>5410</v>
      </c>
      <c r="D30" s="676">
        <v>104</v>
      </c>
      <c r="E30" s="676">
        <v>7954</v>
      </c>
      <c r="F30" s="676">
        <v>3107</v>
      </c>
      <c r="G30" s="676">
        <v>3857</v>
      </c>
      <c r="H30" s="676">
        <v>2656</v>
      </c>
      <c r="I30" s="686">
        <v>23088</v>
      </c>
    </row>
    <row r="31" spans="2:9" ht="20.100000000000001" customHeight="1">
      <c r="B31" s="745">
        <v>2016</v>
      </c>
      <c r="C31" s="666"/>
      <c r="D31" s="666"/>
      <c r="E31" s="666"/>
      <c r="F31" s="666"/>
      <c r="G31" s="666"/>
      <c r="H31" s="666"/>
      <c r="I31" s="666"/>
    </row>
    <row r="32" spans="2:9" ht="20.100000000000001" customHeight="1">
      <c r="B32" s="363" t="s">
        <v>580</v>
      </c>
      <c r="C32" s="776">
        <v>102</v>
      </c>
      <c r="D32" s="776">
        <v>1</v>
      </c>
      <c r="E32" s="589">
        <v>31</v>
      </c>
      <c r="F32" s="589">
        <v>10</v>
      </c>
      <c r="G32" s="589">
        <v>415</v>
      </c>
      <c r="H32" s="589" t="s">
        <v>14</v>
      </c>
      <c r="I32" s="32">
        <v>559</v>
      </c>
    </row>
    <row r="33" spans="2:10" ht="20.100000000000001" customHeight="1">
      <c r="B33" s="363" t="s">
        <v>579</v>
      </c>
      <c r="C33" s="661">
        <v>5</v>
      </c>
      <c r="D33" s="661" t="s">
        <v>14</v>
      </c>
      <c r="E33" s="366">
        <v>19</v>
      </c>
      <c r="F33" s="366">
        <v>1</v>
      </c>
      <c r="G33" s="366">
        <v>289</v>
      </c>
      <c r="H33" s="366">
        <v>15</v>
      </c>
      <c r="I33" s="32">
        <v>329</v>
      </c>
    </row>
    <row r="34" spans="2:10" ht="20.100000000000001" customHeight="1">
      <c r="B34" s="363" t="s">
        <v>24</v>
      </c>
      <c r="C34" s="661">
        <v>594</v>
      </c>
      <c r="D34" s="661">
        <v>3</v>
      </c>
      <c r="E34" s="366">
        <v>145</v>
      </c>
      <c r="F34" s="366">
        <v>93</v>
      </c>
      <c r="G34" s="366">
        <v>387</v>
      </c>
      <c r="H34" s="366">
        <v>166</v>
      </c>
      <c r="I34" s="32">
        <v>1388</v>
      </c>
    </row>
    <row r="35" spans="2:10" ht="20.100000000000001" customHeight="1">
      <c r="B35" s="365" t="s">
        <v>578</v>
      </c>
      <c r="C35" s="664">
        <v>3041</v>
      </c>
      <c r="D35" s="664">
        <v>30</v>
      </c>
      <c r="E35" s="367">
        <v>5977</v>
      </c>
      <c r="F35" s="367">
        <v>729</v>
      </c>
      <c r="G35" s="367">
        <v>2032</v>
      </c>
      <c r="H35" s="367">
        <v>898</v>
      </c>
      <c r="I35" s="663">
        <v>12707</v>
      </c>
    </row>
    <row r="36" spans="2:10" ht="20.100000000000001" customHeight="1">
      <c r="B36" s="433" t="s">
        <v>577</v>
      </c>
      <c r="C36" s="687">
        <v>3742</v>
      </c>
      <c r="D36" s="676">
        <v>34</v>
      </c>
      <c r="E36" s="676">
        <v>6172</v>
      </c>
      <c r="F36" s="676">
        <v>833</v>
      </c>
      <c r="G36" s="676">
        <v>3123</v>
      </c>
      <c r="H36" s="676">
        <v>1079</v>
      </c>
      <c r="I36" s="686">
        <v>14983</v>
      </c>
    </row>
    <row r="37" spans="2:10" ht="20.100000000000001" customHeight="1">
      <c r="B37" s="744">
        <v>2017</v>
      </c>
      <c r="C37" s="666"/>
      <c r="D37" s="666"/>
      <c r="E37" s="666"/>
      <c r="F37" s="666"/>
      <c r="G37" s="666"/>
      <c r="H37" s="666"/>
      <c r="I37" s="666"/>
    </row>
    <row r="38" spans="2:10" ht="20.100000000000001" customHeight="1">
      <c r="B38" s="363" t="s">
        <v>580</v>
      </c>
      <c r="C38" s="776">
        <v>47</v>
      </c>
      <c r="D38" s="776" t="s">
        <v>14</v>
      </c>
      <c r="E38" s="589">
        <v>1</v>
      </c>
      <c r="F38" s="589">
        <v>1</v>
      </c>
      <c r="G38" s="589">
        <v>14</v>
      </c>
      <c r="H38" s="589" t="s">
        <v>14</v>
      </c>
      <c r="I38" s="32">
        <v>63</v>
      </c>
    </row>
    <row r="39" spans="2:10" ht="20.100000000000001" customHeight="1">
      <c r="B39" s="363" t="s">
        <v>579</v>
      </c>
      <c r="C39" s="661">
        <v>13</v>
      </c>
      <c r="D39" s="661" t="s">
        <v>14</v>
      </c>
      <c r="E39" s="366">
        <v>56</v>
      </c>
      <c r="F39" s="366">
        <v>5</v>
      </c>
      <c r="G39" s="366">
        <v>153</v>
      </c>
      <c r="H39" s="366">
        <v>507</v>
      </c>
      <c r="I39" s="32">
        <v>734</v>
      </c>
    </row>
    <row r="40" spans="2:10" ht="20.100000000000001" customHeight="1">
      <c r="B40" s="363" t="s">
        <v>24</v>
      </c>
      <c r="C40" s="661">
        <v>415</v>
      </c>
      <c r="D40" s="661">
        <v>2</v>
      </c>
      <c r="E40" s="366">
        <v>170</v>
      </c>
      <c r="F40" s="366">
        <v>61</v>
      </c>
      <c r="G40" s="366">
        <v>388</v>
      </c>
      <c r="H40" s="366">
        <v>141</v>
      </c>
      <c r="I40" s="32">
        <v>1177</v>
      </c>
    </row>
    <row r="41" spans="2:10" ht="20.100000000000001" customHeight="1">
      <c r="B41" s="365" t="s">
        <v>578</v>
      </c>
      <c r="C41" s="664">
        <v>1445</v>
      </c>
      <c r="D41" s="664">
        <v>20</v>
      </c>
      <c r="E41" s="367">
        <v>3544</v>
      </c>
      <c r="F41" s="367">
        <v>948</v>
      </c>
      <c r="G41" s="367">
        <v>1957</v>
      </c>
      <c r="H41" s="367">
        <v>1073</v>
      </c>
      <c r="I41" s="663">
        <v>8987</v>
      </c>
    </row>
    <row r="42" spans="2:10" ht="20.100000000000001" customHeight="1">
      <c r="B42" s="742" t="s">
        <v>577</v>
      </c>
      <c r="C42" s="586">
        <v>1919</v>
      </c>
      <c r="D42" s="586">
        <v>22</v>
      </c>
      <c r="E42" s="585">
        <v>3771</v>
      </c>
      <c r="F42" s="585">
        <v>1014</v>
      </c>
      <c r="G42" s="585">
        <v>2512</v>
      </c>
      <c r="H42" s="585">
        <v>1721</v>
      </c>
      <c r="I42" s="662">
        <v>10959</v>
      </c>
    </row>
    <row r="45" spans="2:10" ht="19.5" customHeight="1">
      <c r="B45" s="696" t="s">
        <v>13</v>
      </c>
      <c r="C45" s="1192" t="s">
        <v>469</v>
      </c>
      <c r="D45" s="1192"/>
      <c r="E45" s="1192"/>
      <c r="F45" s="1192"/>
      <c r="G45" s="1192"/>
      <c r="H45" s="1192"/>
      <c r="I45" s="1192"/>
    </row>
    <row r="46" spans="2:10" ht="54.75" customHeight="1">
      <c r="B46" s="775" t="s">
        <v>581</v>
      </c>
      <c r="C46" s="694" t="s">
        <v>482</v>
      </c>
      <c r="D46" s="693" t="s">
        <v>421</v>
      </c>
      <c r="E46" s="694" t="s">
        <v>481</v>
      </c>
      <c r="F46" s="694" t="s">
        <v>480</v>
      </c>
      <c r="G46" s="694" t="s">
        <v>443</v>
      </c>
      <c r="H46" s="693" t="s">
        <v>434</v>
      </c>
      <c r="I46" s="693" t="s">
        <v>36</v>
      </c>
      <c r="J46" s="42"/>
    </row>
    <row r="47" spans="2:10" ht="20.100000000000001" customHeight="1">
      <c r="B47" s="223" t="s">
        <v>550</v>
      </c>
      <c r="C47" s="222" t="s">
        <v>14</v>
      </c>
      <c r="D47" s="222">
        <v>537</v>
      </c>
      <c r="E47" s="222" t="s">
        <v>14</v>
      </c>
      <c r="F47" s="222">
        <v>488</v>
      </c>
      <c r="G47" s="222">
        <v>214</v>
      </c>
      <c r="H47" s="222" t="s">
        <v>14</v>
      </c>
      <c r="I47" s="757">
        <v>1239</v>
      </c>
      <c r="J47" s="42"/>
    </row>
    <row r="48" spans="2:10" ht="20.100000000000001" customHeight="1">
      <c r="B48" s="223">
        <v>2013</v>
      </c>
      <c r="C48" s="222" t="s">
        <v>14</v>
      </c>
      <c r="D48" s="222">
        <v>734</v>
      </c>
      <c r="E48" s="222" t="s">
        <v>14</v>
      </c>
      <c r="F48" s="222">
        <v>458</v>
      </c>
      <c r="G48" s="222">
        <v>170</v>
      </c>
      <c r="H48" s="222" t="s">
        <v>14</v>
      </c>
      <c r="I48" s="757">
        <v>1362</v>
      </c>
      <c r="J48" s="42"/>
    </row>
    <row r="49" spans="2:10" ht="20.100000000000001" customHeight="1">
      <c r="B49" s="223">
        <v>2014</v>
      </c>
      <c r="C49" s="222" t="s">
        <v>14</v>
      </c>
      <c r="D49" s="222">
        <v>970</v>
      </c>
      <c r="E49" s="222" t="s">
        <v>14</v>
      </c>
      <c r="F49" s="222">
        <v>500</v>
      </c>
      <c r="G49" s="222">
        <v>195</v>
      </c>
      <c r="H49" s="222" t="s">
        <v>14</v>
      </c>
      <c r="I49" s="757">
        <v>1665</v>
      </c>
      <c r="J49" s="42"/>
    </row>
    <row r="50" spans="2:10" ht="20.100000000000001" customHeight="1">
      <c r="B50" s="774">
        <v>2015</v>
      </c>
      <c r="C50" s="773" t="s">
        <v>14</v>
      </c>
      <c r="D50" s="772">
        <v>637</v>
      </c>
      <c r="E50" s="772" t="s">
        <v>14</v>
      </c>
      <c r="F50" s="772">
        <v>406</v>
      </c>
      <c r="G50" s="772">
        <v>83</v>
      </c>
      <c r="H50" s="772" t="s">
        <v>14</v>
      </c>
      <c r="I50" s="756">
        <v>1126</v>
      </c>
      <c r="J50" s="42"/>
    </row>
    <row r="51" spans="2:10" ht="20.100000000000001" customHeight="1">
      <c r="B51" s="774">
        <v>2016</v>
      </c>
      <c r="C51" s="773" t="s">
        <v>14</v>
      </c>
      <c r="D51" s="772">
        <v>243</v>
      </c>
      <c r="E51" s="772" t="s">
        <v>14</v>
      </c>
      <c r="F51" s="772">
        <v>544</v>
      </c>
      <c r="G51" s="772">
        <v>61</v>
      </c>
      <c r="H51" s="772" t="s">
        <v>14</v>
      </c>
      <c r="I51" s="756">
        <v>848</v>
      </c>
      <c r="J51" s="42"/>
    </row>
    <row r="52" spans="2:10" ht="20.100000000000001" customHeight="1">
      <c r="B52" s="744">
        <v>2017</v>
      </c>
      <c r="C52" s="771"/>
      <c r="D52" s="770"/>
      <c r="E52" s="770"/>
      <c r="F52" s="770"/>
      <c r="G52" s="770"/>
      <c r="H52" s="770"/>
      <c r="I52" s="738"/>
      <c r="J52" s="42"/>
    </row>
    <row r="53" spans="2:10" ht="20.100000000000001" customHeight="1">
      <c r="B53" s="363" t="s">
        <v>580</v>
      </c>
      <c r="C53" s="661" t="s">
        <v>14</v>
      </c>
      <c r="D53" s="366" t="s">
        <v>14</v>
      </c>
      <c r="E53" s="366" t="s">
        <v>14</v>
      </c>
      <c r="F53" s="366" t="s">
        <v>14</v>
      </c>
      <c r="G53" s="366" t="s">
        <v>14</v>
      </c>
      <c r="H53" s="366" t="s">
        <v>14</v>
      </c>
      <c r="I53" s="32" t="s">
        <v>14</v>
      </c>
      <c r="J53" s="42"/>
    </row>
    <row r="54" spans="2:10" ht="20.100000000000001" customHeight="1">
      <c r="B54" s="363" t="s">
        <v>579</v>
      </c>
      <c r="C54" s="661" t="s">
        <v>14</v>
      </c>
      <c r="D54" s="366" t="s">
        <v>14</v>
      </c>
      <c r="E54" s="366" t="s">
        <v>14</v>
      </c>
      <c r="F54" s="366" t="s">
        <v>14</v>
      </c>
      <c r="G54" s="366" t="s">
        <v>14</v>
      </c>
      <c r="H54" s="366" t="s">
        <v>14</v>
      </c>
      <c r="I54" s="32" t="s">
        <v>14</v>
      </c>
      <c r="J54" s="42"/>
    </row>
    <row r="55" spans="2:10" ht="20.100000000000001" customHeight="1">
      <c r="B55" s="363" t="s">
        <v>24</v>
      </c>
      <c r="C55" s="661" t="s">
        <v>14</v>
      </c>
      <c r="D55" s="366" t="s">
        <v>14</v>
      </c>
      <c r="E55" s="366" t="s">
        <v>14</v>
      </c>
      <c r="F55" s="366">
        <v>4</v>
      </c>
      <c r="G55" s="366" t="s">
        <v>14</v>
      </c>
      <c r="H55" s="366" t="s">
        <v>14</v>
      </c>
      <c r="I55" s="32">
        <v>4</v>
      </c>
      <c r="J55" s="42"/>
    </row>
    <row r="56" spans="2:10" ht="20.100000000000001" customHeight="1">
      <c r="B56" s="365" t="s">
        <v>578</v>
      </c>
      <c r="C56" s="664" t="s">
        <v>14</v>
      </c>
      <c r="D56" s="367">
        <v>219</v>
      </c>
      <c r="E56" s="367" t="s">
        <v>14</v>
      </c>
      <c r="F56" s="367">
        <v>625</v>
      </c>
      <c r="G56" s="367">
        <v>88</v>
      </c>
      <c r="H56" s="367" t="s">
        <v>14</v>
      </c>
      <c r="I56" s="663">
        <v>932</v>
      </c>
      <c r="J56" s="42"/>
    </row>
    <row r="57" spans="2:10" ht="20.100000000000001" customHeight="1">
      <c r="B57" s="742" t="s">
        <v>577</v>
      </c>
      <c r="C57" s="586" t="s">
        <v>14</v>
      </c>
      <c r="D57" s="585">
        <v>219</v>
      </c>
      <c r="E57" s="585" t="s">
        <v>14</v>
      </c>
      <c r="F57" s="585">
        <v>629</v>
      </c>
      <c r="G57" s="585">
        <v>88</v>
      </c>
      <c r="H57" s="585" t="s">
        <v>14</v>
      </c>
      <c r="I57" s="662">
        <v>936</v>
      </c>
    </row>
    <row r="58" spans="2:10" ht="20.100000000000001" customHeight="1">
      <c r="C58" s="42"/>
      <c r="D58" s="42"/>
      <c r="E58" s="42"/>
      <c r="F58" s="42"/>
      <c r="G58" s="42"/>
      <c r="H58" s="42"/>
      <c r="I58" s="655"/>
    </row>
    <row r="59" spans="2:10" ht="20.100000000000001" customHeight="1">
      <c r="B59" s="655" t="s">
        <v>576</v>
      </c>
      <c r="C59" s="655"/>
      <c r="D59" s="655"/>
      <c r="E59" s="655"/>
      <c r="F59" s="655"/>
      <c r="G59" s="655"/>
      <c r="H59" s="655"/>
      <c r="I59" s="42"/>
    </row>
  </sheetData>
  <mergeCells count="3">
    <mergeCell ref="B2:I2"/>
    <mergeCell ref="C5:I5"/>
    <mergeCell ref="C45:I45"/>
  </mergeCells>
  <pageMargins left="0.75" right="0.75" top="1" bottom="1" header="0.5" footer="0.5"/>
  <pageSetup paperSize="9" scale="60" orientation="portrait" horizontalDpi="4294967292" verticalDpi="4294967292" r:id="rId1"/>
  <colBreaks count="1" manualBreakCount="1">
    <brk id="10" max="1048575" man="1"/>
  </colBreaks>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47">
    <tabColor rgb="FF733E8D"/>
  </sheetPr>
  <dimension ref="A2:I59"/>
  <sheetViews>
    <sheetView showGridLines="0" view="pageBreakPreview" zoomScaleNormal="140" zoomScaleSheetLayoutView="100" zoomScalePageLayoutView="140" workbookViewId="0">
      <selection activeCell="B15" sqref="B15"/>
    </sheetView>
  </sheetViews>
  <sheetFormatPr defaultColWidth="10.875" defaultRowHeight="20.100000000000001" customHeight="1"/>
  <cols>
    <col min="1" max="1" width="5.5" style="468" customWidth="1"/>
    <col min="2" max="2" width="39.375" style="468" customWidth="1"/>
    <col min="3" max="16384" width="10.875" style="468"/>
  </cols>
  <sheetData>
    <row r="2" spans="1:9" ht="20.100000000000001" customHeight="1">
      <c r="B2" s="1156" t="str">
        <f>UPPER("Capitalized cost related to oil and gas producing activities")</f>
        <v>CAPITALIZED COST RELATED TO OIL AND GAS PRODUCING ACTIVITIES</v>
      </c>
      <c r="C2" s="1156"/>
      <c r="D2" s="1156"/>
      <c r="E2" s="1156"/>
      <c r="F2" s="1156"/>
      <c r="G2" s="1156"/>
      <c r="H2" s="1156"/>
    </row>
    <row r="3" spans="1:9" s="792" customFormat="1" ht="17.100000000000001" customHeight="1">
      <c r="B3" s="1203"/>
      <c r="C3" s="1203"/>
      <c r="D3" s="1203"/>
      <c r="E3" s="1203"/>
      <c r="F3" s="1203"/>
      <c r="G3" s="1203"/>
      <c r="H3" s="1203"/>
      <c r="I3" s="1203"/>
    </row>
    <row r="4" spans="1:9" s="792" customFormat="1" ht="28.5" customHeight="1">
      <c r="B4" s="1204" t="s">
        <v>594</v>
      </c>
      <c r="C4" s="1204"/>
      <c r="D4" s="1204"/>
      <c r="E4" s="1204"/>
      <c r="F4" s="1204"/>
      <c r="G4" s="1204"/>
      <c r="H4" s="1204"/>
      <c r="I4" s="1204"/>
    </row>
    <row r="5" spans="1:9" s="792" customFormat="1" ht="14.1" customHeight="1">
      <c r="B5" s="1203" t="s">
        <v>593</v>
      </c>
      <c r="C5" s="1203"/>
      <c r="D5" s="1203"/>
      <c r="E5" s="1203"/>
      <c r="F5" s="1203"/>
      <c r="G5" s="1203"/>
      <c r="H5" s="1203"/>
      <c r="I5" s="1203"/>
    </row>
    <row r="6" spans="1:9" ht="12.95" customHeight="1">
      <c r="A6" s="715"/>
      <c r="B6" s="1205"/>
      <c r="C6" s="1205"/>
      <c r="D6" s="1205"/>
      <c r="E6" s="1205"/>
      <c r="F6" s="1205"/>
      <c r="G6" s="1205"/>
      <c r="H6" s="1205"/>
      <c r="I6" s="1205"/>
    </row>
    <row r="7" spans="1:9" ht="20.100000000000001" customHeight="1">
      <c r="B7" s="696" t="s">
        <v>13</v>
      </c>
      <c r="C7" s="1192" t="s">
        <v>470</v>
      </c>
      <c r="D7" s="1192"/>
      <c r="E7" s="1192"/>
      <c r="F7" s="1192"/>
      <c r="G7" s="1192"/>
      <c r="H7" s="1192"/>
      <c r="I7" s="1192"/>
    </row>
    <row r="8" spans="1:9" ht="52.5" customHeight="1">
      <c r="B8" s="461"/>
      <c r="C8" s="694" t="s">
        <v>482</v>
      </c>
      <c r="D8" s="693" t="s">
        <v>421</v>
      </c>
      <c r="E8" s="694" t="s">
        <v>481</v>
      </c>
      <c r="F8" s="694" t="s">
        <v>480</v>
      </c>
      <c r="G8" s="694" t="s">
        <v>443</v>
      </c>
      <c r="H8" s="693" t="s">
        <v>434</v>
      </c>
      <c r="I8" s="693" t="s">
        <v>36</v>
      </c>
    </row>
    <row r="9" spans="1:9" ht="20.100000000000001" customHeight="1">
      <c r="B9" s="43" t="s">
        <v>592</v>
      </c>
      <c r="C9" s="791"/>
      <c r="D9" s="336"/>
      <c r="E9" s="336"/>
      <c r="F9" s="336"/>
      <c r="G9" s="336"/>
      <c r="H9" s="336"/>
      <c r="I9" s="790"/>
    </row>
    <row r="10" spans="1:9" ht="20.100000000000001" customHeight="1">
      <c r="B10" s="363" t="s">
        <v>591</v>
      </c>
      <c r="C10" s="661">
        <v>56264</v>
      </c>
      <c r="D10" s="366">
        <v>803</v>
      </c>
      <c r="E10" s="366">
        <v>50706</v>
      </c>
      <c r="F10" s="366">
        <v>11267</v>
      </c>
      <c r="G10" s="366">
        <v>13336</v>
      </c>
      <c r="H10" s="366">
        <v>13852</v>
      </c>
      <c r="I10" s="32">
        <v>146228</v>
      </c>
    </row>
    <row r="11" spans="1:9" ht="20.100000000000001" customHeight="1">
      <c r="B11" s="365" t="s">
        <v>82</v>
      </c>
      <c r="C11" s="664">
        <v>1064</v>
      </c>
      <c r="D11" s="367" t="s">
        <v>14</v>
      </c>
      <c r="E11" s="367">
        <v>4047</v>
      </c>
      <c r="F11" s="367">
        <v>480</v>
      </c>
      <c r="G11" s="367">
        <v>5706</v>
      </c>
      <c r="H11" s="367">
        <v>461</v>
      </c>
      <c r="I11" s="663">
        <v>11758</v>
      </c>
    </row>
    <row r="12" spans="1:9" ht="20.100000000000001" customHeight="1">
      <c r="B12" s="783" t="s">
        <v>588</v>
      </c>
      <c r="C12" s="782">
        <v>57328</v>
      </c>
      <c r="D12" s="781">
        <v>803</v>
      </c>
      <c r="E12" s="781">
        <v>54753</v>
      </c>
      <c r="F12" s="781">
        <v>11747</v>
      </c>
      <c r="G12" s="781">
        <v>19042</v>
      </c>
      <c r="H12" s="781">
        <v>14313</v>
      </c>
      <c r="I12" s="436">
        <v>157986</v>
      </c>
    </row>
    <row r="13" spans="1:9" ht="20.100000000000001" customHeight="1">
      <c r="B13" s="365" t="s">
        <v>587</v>
      </c>
      <c r="C13" s="664">
        <v>-31404</v>
      </c>
      <c r="D13" s="367">
        <v>-314</v>
      </c>
      <c r="E13" s="367">
        <v>-25485</v>
      </c>
      <c r="F13" s="367">
        <v>-7517</v>
      </c>
      <c r="G13" s="367">
        <v>-4247</v>
      </c>
      <c r="H13" s="367">
        <v>-7245</v>
      </c>
      <c r="I13" s="663">
        <v>-76212</v>
      </c>
    </row>
    <row r="14" spans="1:9" ht="20.100000000000001" customHeight="1">
      <c r="B14" s="433" t="s">
        <v>586</v>
      </c>
      <c r="C14" s="432">
        <v>25924</v>
      </c>
      <c r="D14" s="344">
        <v>489</v>
      </c>
      <c r="E14" s="344">
        <v>29268</v>
      </c>
      <c r="F14" s="344">
        <v>4230</v>
      </c>
      <c r="G14" s="344">
        <v>14795</v>
      </c>
      <c r="H14" s="344">
        <v>7068</v>
      </c>
      <c r="I14" s="436">
        <v>81774</v>
      </c>
    </row>
    <row r="15" spans="1:9" ht="20.100000000000001" customHeight="1">
      <c r="B15" s="43" t="s">
        <v>166</v>
      </c>
      <c r="C15" s="682"/>
      <c r="D15" s="682"/>
      <c r="E15" s="682"/>
      <c r="F15" s="682"/>
      <c r="G15" s="682"/>
      <c r="H15" s="682"/>
      <c r="I15" s="682"/>
    </row>
    <row r="16" spans="1:9" ht="20.100000000000001" customHeight="1">
      <c r="B16" s="363" t="s">
        <v>181</v>
      </c>
      <c r="C16" s="661">
        <v>61017</v>
      </c>
      <c r="D16" s="366">
        <v>950</v>
      </c>
      <c r="E16" s="366">
        <v>58787</v>
      </c>
      <c r="F16" s="366">
        <v>11882</v>
      </c>
      <c r="G16" s="366">
        <v>15002</v>
      </c>
      <c r="H16" s="366">
        <v>17343</v>
      </c>
      <c r="I16" s="32">
        <v>164981</v>
      </c>
    </row>
    <row r="17" spans="2:9" ht="20.100000000000001" customHeight="1">
      <c r="B17" s="365" t="s">
        <v>82</v>
      </c>
      <c r="C17" s="664">
        <v>1311</v>
      </c>
      <c r="D17" s="367" t="s">
        <v>14</v>
      </c>
      <c r="E17" s="367">
        <v>4713</v>
      </c>
      <c r="F17" s="367">
        <v>817</v>
      </c>
      <c r="G17" s="367">
        <v>7881</v>
      </c>
      <c r="H17" s="367">
        <v>700</v>
      </c>
      <c r="I17" s="663">
        <v>15422</v>
      </c>
    </row>
    <row r="18" spans="2:9" ht="20.100000000000001" customHeight="1">
      <c r="B18" s="783" t="s">
        <v>588</v>
      </c>
      <c r="C18" s="782">
        <v>62328</v>
      </c>
      <c r="D18" s="781">
        <v>950</v>
      </c>
      <c r="E18" s="781">
        <v>63500</v>
      </c>
      <c r="F18" s="781">
        <v>12699</v>
      </c>
      <c r="G18" s="781">
        <v>22883</v>
      </c>
      <c r="H18" s="781">
        <v>18043</v>
      </c>
      <c r="I18" s="436">
        <v>180403</v>
      </c>
    </row>
    <row r="19" spans="2:9" ht="20.100000000000001" customHeight="1">
      <c r="B19" s="365" t="s">
        <v>587</v>
      </c>
      <c r="C19" s="664">
        <v>-32441</v>
      </c>
      <c r="D19" s="367">
        <v>-399</v>
      </c>
      <c r="E19" s="367">
        <v>-28675</v>
      </c>
      <c r="F19" s="367">
        <v>-8445</v>
      </c>
      <c r="G19" s="367">
        <v>-5259</v>
      </c>
      <c r="H19" s="367">
        <v>-8807</v>
      </c>
      <c r="I19" s="663">
        <v>-84026</v>
      </c>
    </row>
    <row r="20" spans="2:9" ht="20.100000000000001" customHeight="1">
      <c r="B20" s="433" t="s">
        <v>586</v>
      </c>
      <c r="C20" s="432">
        <v>29887</v>
      </c>
      <c r="D20" s="344">
        <v>551</v>
      </c>
      <c r="E20" s="344">
        <v>34825</v>
      </c>
      <c r="F20" s="344">
        <v>4254</v>
      </c>
      <c r="G20" s="344">
        <v>17624</v>
      </c>
      <c r="H20" s="344">
        <v>9236</v>
      </c>
      <c r="I20" s="436">
        <v>96377</v>
      </c>
    </row>
    <row r="21" spans="2:9" ht="20.100000000000001" customHeight="1">
      <c r="B21" s="43" t="s">
        <v>167</v>
      </c>
      <c r="C21" s="682"/>
      <c r="D21" s="682"/>
      <c r="E21" s="682"/>
      <c r="F21" s="682"/>
      <c r="G21" s="682"/>
      <c r="H21" s="682"/>
      <c r="I21" s="682"/>
    </row>
    <row r="22" spans="2:9" ht="20.100000000000001" customHeight="1">
      <c r="B22" s="363" t="s">
        <v>181</v>
      </c>
      <c r="C22" s="661">
        <v>56698</v>
      </c>
      <c r="D22" s="366">
        <v>1066</v>
      </c>
      <c r="E22" s="366">
        <v>66173</v>
      </c>
      <c r="F22" s="366">
        <v>11219</v>
      </c>
      <c r="G22" s="366">
        <v>17774</v>
      </c>
      <c r="H22" s="366">
        <v>20368</v>
      </c>
      <c r="I22" s="32">
        <v>173298</v>
      </c>
    </row>
    <row r="23" spans="2:9" ht="20.100000000000001" customHeight="1">
      <c r="B23" s="365" t="s">
        <v>82</v>
      </c>
      <c r="C23" s="664">
        <v>1148</v>
      </c>
      <c r="D23" s="367" t="s">
        <v>14</v>
      </c>
      <c r="E23" s="367">
        <v>4790</v>
      </c>
      <c r="F23" s="367">
        <v>821</v>
      </c>
      <c r="G23" s="367">
        <v>8309</v>
      </c>
      <c r="H23" s="367">
        <v>1210</v>
      </c>
      <c r="I23" s="663">
        <v>16278</v>
      </c>
    </row>
    <row r="24" spans="2:9" ht="20.100000000000001" customHeight="1">
      <c r="B24" s="783" t="s">
        <v>588</v>
      </c>
      <c r="C24" s="782">
        <v>57846</v>
      </c>
      <c r="D24" s="781">
        <v>1066</v>
      </c>
      <c r="E24" s="781">
        <v>70963</v>
      </c>
      <c r="F24" s="781">
        <v>12040</v>
      </c>
      <c r="G24" s="781">
        <v>26083</v>
      </c>
      <c r="H24" s="781">
        <v>21578</v>
      </c>
      <c r="I24" s="436">
        <v>189576</v>
      </c>
    </row>
    <row r="25" spans="2:9" ht="20.100000000000001" customHeight="1">
      <c r="B25" s="365" t="s">
        <v>587</v>
      </c>
      <c r="C25" s="664">
        <v>-28946</v>
      </c>
      <c r="D25" s="367">
        <v>-496</v>
      </c>
      <c r="E25" s="367">
        <v>-32725</v>
      </c>
      <c r="F25" s="367">
        <v>-8017</v>
      </c>
      <c r="G25" s="367">
        <v>-10657</v>
      </c>
      <c r="H25" s="367">
        <v>-10807</v>
      </c>
      <c r="I25" s="663">
        <v>-91648</v>
      </c>
    </row>
    <row r="26" spans="2:9" ht="20.100000000000001" customHeight="1">
      <c r="B26" s="433" t="s">
        <v>586</v>
      </c>
      <c r="C26" s="432">
        <v>28900</v>
      </c>
      <c r="D26" s="344">
        <v>570</v>
      </c>
      <c r="E26" s="344">
        <v>38238</v>
      </c>
      <c r="F26" s="344">
        <v>4023</v>
      </c>
      <c r="G26" s="344">
        <v>15426</v>
      </c>
      <c r="H26" s="344">
        <v>10771</v>
      </c>
      <c r="I26" s="436">
        <v>97928</v>
      </c>
    </row>
    <row r="27" spans="2:9" ht="20.100000000000001" customHeight="1">
      <c r="B27" s="43" t="s">
        <v>190</v>
      </c>
      <c r="C27" s="682"/>
      <c r="D27" s="682"/>
      <c r="E27" s="682"/>
      <c r="F27" s="682"/>
      <c r="G27" s="682"/>
      <c r="H27" s="682"/>
      <c r="I27" s="682"/>
    </row>
    <row r="28" spans="2:9" ht="20.100000000000001" customHeight="1">
      <c r="B28" s="363" t="s">
        <v>181</v>
      </c>
      <c r="C28" s="661">
        <v>55050</v>
      </c>
      <c r="D28" s="366">
        <v>1163</v>
      </c>
      <c r="E28" s="366">
        <v>73842</v>
      </c>
      <c r="F28" s="366">
        <v>12816</v>
      </c>
      <c r="G28" s="366">
        <v>19630</v>
      </c>
      <c r="H28" s="366">
        <v>22886</v>
      </c>
      <c r="I28" s="32">
        <v>185387</v>
      </c>
    </row>
    <row r="29" spans="2:9" ht="20.100000000000001" customHeight="1">
      <c r="B29" s="365" t="s">
        <v>82</v>
      </c>
      <c r="C29" s="664">
        <v>1018</v>
      </c>
      <c r="D29" s="367">
        <v>4</v>
      </c>
      <c r="E29" s="367">
        <v>4362</v>
      </c>
      <c r="F29" s="367">
        <v>2058</v>
      </c>
      <c r="G29" s="367">
        <v>8915</v>
      </c>
      <c r="H29" s="367">
        <v>997</v>
      </c>
      <c r="I29" s="663">
        <v>17354</v>
      </c>
    </row>
    <row r="30" spans="2:9" ht="20.100000000000001" customHeight="1">
      <c r="B30" s="783" t="s">
        <v>588</v>
      </c>
      <c r="C30" s="782">
        <v>56068</v>
      </c>
      <c r="D30" s="781">
        <v>1167</v>
      </c>
      <c r="E30" s="781">
        <v>78204</v>
      </c>
      <c r="F30" s="781">
        <v>14874</v>
      </c>
      <c r="G30" s="781">
        <v>28545</v>
      </c>
      <c r="H30" s="781">
        <v>23883</v>
      </c>
      <c r="I30" s="436">
        <v>202741</v>
      </c>
    </row>
    <row r="31" spans="2:9" ht="20.100000000000001" customHeight="1">
      <c r="B31" s="365" t="s">
        <v>587</v>
      </c>
      <c r="C31" s="664">
        <v>-28341</v>
      </c>
      <c r="D31" s="367">
        <v>-699</v>
      </c>
      <c r="E31" s="367">
        <v>-39259</v>
      </c>
      <c r="F31" s="367">
        <v>-9283</v>
      </c>
      <c r="G31" s="367">
        <v>-11488</v>
      </c>
      <c r="H31" s="367">
        <v>-13647</v>
      </c>
      <c r="I31" s="663">
        <v>-102717</v>
      </c>
    </row>
    <row r="32" spans="2:9" ht="20.100000000000001" customHeight="1">
      <c r="B32" s="433" t="s">
        <v>586</v>
      </c>
      <c r="C32" s="432">
        <v>27727</v>
      </c>
      <c r="D32" s="344">
        <v>468</v>
      </c>
      <c r="E32" s="344">
        <v>38945</v>
      </c>
      <c r="F32" s="344">
        <v>5591</v>
      </c>
      <c r="G32" s="344">
        <v>17057</v>
      </c>
      <c r="H32" s="344">
        <v>10236</v>
      </c>
      <c r="I32" s="436">
        <v>100024</v>
      </c>
    </row>
    <row r="33" spans="2:9" ht="20.100000000000001" customHeight="1">
      <c r="B33" s="43" t="s">
        <v>243</v>
      </c>
      <c r="C33" s="682"/>
      <c r="D33" s="682"/>
      <c r="E33" s="682"/>
      <c r="F33" s="682"/>
      <c r="G33" s="682"/>
      <c r="H33" s="682"/>
      <c r="I33" s="682"/>
    </row>
    <row r="34" spans="2:9" ht="20.100000000000001" customHeight="1">
      <c r="B34" s="363" t="s">
        <v>181</v>
      </c>
      <c r="C34" s="661">
        <v>54611</v>
      </c>
      <c r="D34" s="366">
        <v>600</v>
      </c>
      <c r="E34" s="366">
        <v>78638</v>
      </c>
      <c r="F34" s="366">
        <v>11275</v>
      </c>
      <c r="G34" s="366">
        <v>23392</v>
      </c>
      <c r="H34" s="366">
        <v>23622</v>
      </c>
      <c r="I34" s="32">
        <v>192138</v>
      </c>
    </row>
    <row r="35" spans="2:9" ht="20.100000000000001" customHeight="1">
      <c r="B35" s="365" t="s">
        <v>82</v>
      </c>
      <c r="C35" s="664">
        <v>1000</v>
      </c>
      <c r="D35" s="367">
        <v>4</v>
      </c>
      <c r="E35" s="367">
        <v>4357</v>
      </c>
      <c r="F35" s="367">
        <v>1657</v>
      </c>
      <c r="G35" s="367">
        <v>8611</v>
      </c>
      <c r="H35" s="367">
        <v>1037</v>
      </c>
      <c r="I35" s="663">
        <v>16666</v>
      </c>
    </row>
    <row r="36" spans="2:9" ht="20.100000000000001" customHeight="1">
      <c r="B36" s="783" t="s">
        <v>588</v>
      </c>
      <c r="C36" s="782">
        <v>55611</v>
      </c>
      <c r="D36" s="781">
        <v>604</v>
      </c>
      <c r="E36" s="781">
        <v>82995</v>
      </c>
      <c r="F36" s="781">
        <v>12932</v>
      </c>
      <c r="G36" s="781">
        <v>32003</v>
      </c>
      <c r="H36" s="781">
        <v>24659</v>
      </c>
      <c r="I36" s="436">
        <v>208804</v>
      </c>
    </row>
    <row r="37" spans="2:9" ht="20.100000000000001" customHeight="1">
      <c r="B37" s="365" t="s">
        <v>587</v>
      </c>
      <c r="C37" s="664">
        <v>-29227</v>
      </c>
      <c r="D37" s="367">
        <v>-385</v>
      </c>
      <c r="E37" s="367">
        <v>-42988</v>
      </c>
      <c r="F37" s="367">
        <v>-7973</v>
      </c>
      <c r="G37" s="367">
        <v>-12764</v>
      </c>
      <c r="H37" s="367">
        <v>-14735</v>
      </c>
      <c r="I37" s="663">
        <v>-108072</v>
      </c>
    </row>
    <row r="38" spans="2:9" ht="20.100000000000001" customHeight="1">
      <c r="B38" s="433" t="s">
        <v>586</v>
      </c>
      <c r="C38" s="432">
        <v>26384</v>
      </c>
      <c r="D38" s="344">
        <v>219</v>
      </c>
      <c r="E38" s="344">
        <v>40007</v>
      </c>
      <c r="F38" s="344">
        <v>4959</v>
      </c>
      <c r="G38" s="344">
        <v>19239</v>
      </c>
      <c r="H38" s="344">
        <v>9924</v>
      </c>
      <c r="I38" s="436">
        <v>100732</v>
      </c>
    </row>
    <row r="39" spans="2:9" ht="20.100000000000001" customHeight="1">
      <c r="B39" s="784" t="s">
        <v>304</v>
      </c>
      <c r="C39" s="771"/>
      <c r="D39" s="770"/>
      <c r="E39" s="770"/>
      <c r="F39" s="770"/>
      <c r="G39" s="770"/>
      <c r="H39" s="770"/>
      <c r="I39" s="738"/>
    </row>
    <row r="40" spans="2:9" ht="20.100000000000001" customHeight="1">
      <c r="B40" s="363" t="s">
        <v>181</v>
      </c>
      <c r="C40" s="661">
        <v>58624</v>
      </c>
      <c r="D40" s="366">
        <v>619</v>
      </c>
      <c r="E40" s="366">
        <v>79793</v>
      </c>
      <c r="F40" s="366">
        <v>12544</v>
      </c>
      <c r="G40" s="366">
        <v>25354</v>
      </c>
      <c r="H40" s="366">
        <v>24626</v>
      </c>
      <c r="I40" s="32">
        <v>201560</v>
      </c>
    </row>
    <row r="41" spans="2:9" ht="20.100000000000001" customHeight="1">
      <c r="B41" s="365" t="s">
        <v>82</v>
      </c>
      <c r="C41" s="664">
        <v>1085</v>
      </c>
      <c r="D41" s="367">
        <v>4</v>
      </c>
      <c r="E41" s="367">
        <v>4289</v>
      </c>
      <c r="F41" s="367">
        <v>1331</v>
      </c>
      <c r="G41" s="367">
        <v>8265</v>
      </c>
      <c r="H41" s="367">
        <v>1630</v>
      </c>
      <c r="I41" s="663">
        <v>16604</v>
      </c>
    </row>
    <row r="42" spans="2:9" ht="20.100000000000001" customHeight="1">
      <c r="B42" s="783" t="s">
        <v>588</v>
      </c>
      <c r="C42" s="782">
        <v>59709</v>
      </c>
      <c r="D42" s="781">
        <v>623</v>
      </c>
      <c r="E42" s="781">
        <v>84082</v>
      </c>
      <c r="F42" s="781">
        <v>13874</v>
      </c>
      <c r="G42" s="781">
        <v>33619</v>
      </c>
      <c r="H42" s="781">
        <v>26256</v>
      </c>
      <c r="I42" s="436">
        <v>218163</v>
      </c>
    </row>
    <row r="43" spans="2:9" ht="20.100000000000001" customHeight="1">
      <c r="B43" s="365" t="s">
        <v>587</v>
      </c>
      <c r="C43" s="664">
        <v>-34370</v>
      </c>
      <c r="D43" s="367">
        <v>-421</v>
      </c>
      <c r="E43" s="367">
        <v>-46725</v>
      </c>
      <c r="F43" s="367">
        <v>-8450</v>
      </c>
      <c r="G43" s="367">
        <v>-14345</v>
      </c>
      <c r="H43" s="367">
        <v>-15550</v>
      </c>
      <c r="I43" s="663">
        <v>-119861</v>
      </c>
    </row>
    <row r="44" spans="2:9" ht="20.100000000000001" customHeight="1">
      <c r="B44" s="789" t="s">
        <v>586</v>
      </c>
      <c r="C44" s="788">
        <v>25339</v>
      </c>
      <c r="D44" s="787">
        <v>202</v>
      </c>
      <c r="E44" s="787">
        <v>37357</v>
      </c>
      <c r="F44" s="787">
        <v>5424</v>
      </c>
      <c r="G44" s="787">
        <v>19274</v>
      </c>
      <c r="H44" s="787">
        <v>10706</v>
      </c>
      <c r="I44" s="786">
        <v>98303</v>
      </c>
    </row>
    <row r="45" spans="2:9" ht="20.100000000000001" customHeight="1">
      <c r="B45" s="365"/>
      <c r="C45" s="42"/>
      <c r="D45" s="42"/>
      <c r="E45" s="42"/>
      <c r="F45" s="42"/>
      <c r="G45" s="42"/>
      <c r="H45" s="42"/>
      <c r="I45" s="42"/>
    </row>
    <row r="46" spans="2:9" ht="20.100000000000001" customHeight="1">
      <c r="B46" s="785" t="s">
        <v>13</v>
      </c>
      <c r="C46" s="1202" t="s">
        <v>469</v>
      </c>
      <c r="D46" s="1202"/>
      <c r="E46" s="1202"/>
      <c r="F46" s="1202"/>
      <c r="G46" s="1202"/>
      <c r="H46" s="1202"/>
      <c r="I46" s="1202"/>
    </row>
    <row r="47" spans="2:9" ht="57.75" customHeight="1">
      <c r="B47" s="707" t="s">
        <v>590</v>
      </c>
      <c r="C47" s="694" t="s">
        <v>482</v>
      </c>
      <c r="D47" s="693" t="s">
        <v>421</v>
      </c>
      <c r="E47" s="694" t="s">
        <v>481</v>
      </c>
      <c r="F47" s="694" t="s">
        <v>480</v>
      </c>
      <c r="G47" s="694" t="s">
        <v>443</v>
      </c>
      <c r="H47" s="693" t="s">
        <v>434</v>
      </c>
      <c r="I47" s="693" t="s">
        <v>36</v>
      </c>
    </row>
    <row r="48" spans="2:9" ht="20.100000000000001" customHeight="1">
      <c r="B48" s="363" t="s">
        <v>589</v>
      </c>
      <c r="C48" s="661" t="s">
        <v>14</v>
      </c>
      <c r="D48" s="366">
        <v>6247</v>
      </c>
      <c r="E48" s="366" t="s">
        <v>14</v>
      </c>
      <c r="F48" s="366">
        <v>1447</v>
      </c>
      <c r="G48" s="366">
        <v>1150</v>
      </c>
      <c r="H48" s="366" t="s">
        <v>14</v>
      </c>
      <c r="I48" s="32">
        <v>8844</v>
      </c>
    </row>
    <row r="49" spans="2:9" ht="20.100000000000001" customHeight="1">
      <c r="B49" s="363" t="s">
        <v>166</v>
      </c>
      <c r="C49" s="661" t="s">
        <v>14</v>
      </c>
      <c r="D49" s="366">
        <v>7096</v>
      </c>
      <c r="E49" s="366" t="s">
        <v>14</v>
      </c>
      <c r="F49" s="366">
        <v>1418</v>
      </c>
      <c r="G49" s="366">
        <v>1007</v>
      </c>
      <c r="H49" s="366" t="s">
        <v>14</v>
      </c>
      <c r="I49" s="32">
        <v>9521</v>
      </c>
    </row>
    <row r="50" spans="2:9" ht="20.100000000000001" customHeight="1">
      <c r="B50" s="363" t="s">
        <v>167</v>
      </c>
      <c r="C50" s="661" t="s">
        <v>14</v>
      </c>
      <c r="D50" s="366">
        <v>4607</v>
      </c>
      <c r="E50" s="366" t="s">
        <v>14</v>
      </c>
      <c r="F50" s="366">
        <v>1152</v>
      </c>
      <c r="G50" s="366">
        <v>1101</v>
      </c>
      <c r="H50" s="366" t="s">
        <v>14</v>
      </c>
      <c r="I50" s="32">
        <v>6860</v>
      </c>
    </row>
    <row r="51" spans="2:9" ht="20.100000000000001" customHeight="1">
      <c r="B51" s="774" t="s">
        <v>190</v>
      </c>
      <c r="C51" s="773" t="s">
        <v>14</v>
      </c>
      <c r="D51" s="772">
        <v>4120</v>
      </c>
      <c r="E51" s="772" t="s">
        <v>14</v>
      </c>
      <c r="F51" s="772">
        <v>1131</v>
      </c>
      <c r="G51" s="772">
        <v>1097</v>
      </c>
      <c r="H51" s="772" t="s">
        <v>14</v>
      </c>
      <c r="I51" s="756">
        <v>6348</v>
      </c>
    </row>
    <row r="52" spans="2:9" ht="20.100000000000001" customHeight="1">
      <c r="B52" s="774" t="s">
        <v>243</v>
      </c>
      <c r="C52" s="773" t="s">
        <v>14</v>
      </c>
      <c r="D52" s="772">
        <v>4987</v>
      </c>
      <c r="E52" s="772" t="s">
        <v>14</v>
      </c>
      <c r="F52" s="772">
        <v>1179</v>
      </c>
      <c r="G52" s="772">
        <v>1094</v>
      </c>
      <c r="H52" s="772" t="s">
        <v>14</v>
      </c>
      <c r="I52" s="756">
        <v>7260</v>
      </c>
    </row>
    <row r="53" spans="2:9" ht="20.100000000000001" customHeight="1">
      <c r="B53" s="784" t="s">
        <v>304</v>
      </c>
      <c r="C53" s="771"/>
      <c r="D53" s="771"/>
      <c r="E53" s="770"/>
      <c r="F53" s="771"/>
      <c r="G53" s="770"/>
      <c r="H53" s="770"/>
      <c r="I53" s="738"/>
    </row>
    <row r="54" spans="2:9" ht="20.100000000000001" customHeight="1">
      <c r="B54" s="363" t="s">
        <v>181</v>
      </c>
      <c r="C54" s="661" t="s">
        <v>14</v>
      </c>
      <c r="D54" s="661">
        <v>6232</v>
      </c>
      <c r="E54" s="366" t="s">
        <v>14</v>
      </c>
      <c r="F54" s="661">
        <v>5583</v>
      </c>
      <c r="G54" s="366">
        <v>1676</v>
      </c>
      <c r="H54" s="366" t="s">
        <v>14</v>
      </c>
      <c r="I54" s="32">
        <v>13491</v>
      </c>
    </row>
    <row r="55" spans="2:9" ht="20.100000000000001" customHeight="1">
      <c r="B55" s="365" t="s">
        <v>82</v>
      </c>
      <c r="C55" s="664" t="s">
        <v>14</v>
      </c>
      <c r="D55" s="664">
        <v>185</v>
      </c>
      <c r="E55" s="367" t="s">
        <v>14</v>
      </c>
      <c r="F55" s="664" t="s">
        <v>14</v>
      </c>
      <c r="G55" s="367" t="s">
        <v>14</v>
      </c>
      <c r="H55" s="367" t="s">
        <v>14</v>
      </c>
      <c r="I55" s="663">
        <v>185</v>
      </c>
    </row>
    <row r="56" spans="2:9" ht="20.100000000000001" customHeight="1">
      <c r="B56" s="783" t="s">
        <v>588</v>
      </c>
      <c r="C56" s="782" t="s">
        <v>14</v>
      </c>
      <c r="D56" s="782">
        <v>6417</v>
      </c>
      <c r="E56" s="781" t="s">
        <v>14</v>
      </c>
      <c r="F56" s="782">
        <v>5583</v>
      </c>
      <c r="G56" s="781">
        <v>1676</v>
      </c>
      <c r="H56" s="781" t="s">
        <v>14</v>
      </c>
      <c r="I56" s="436">
        <v>13676</v>
      </c>
    </row>
    <row r="57" spans="2:9" ht="20.100000000000001" customHeight="1">
      <c r="B57" s="365" t="s">
        <v>587</v>
      </c>
      <c r="C57" s="664" t="s">
        <v>14</v>
      </c>
      <c r="D57" s="664">
        <v>-1344</v>
      </c>
      <c r="E57" s="367" t="s">
        <v>14</v>
      </c>
      <c r="F57" s="664">
        <v>-4340</v>
      </c>
      <c r="G57" s="367">
        <v>-592</v>
      </c>
      <c r="H57" s="367" t="s">
        <v>14</v>
      </c>
      <c r="I57" s="663">
        <v>-6276</v>
      </c>
    </row>
    <row r="58" spans="2:9" ht="20.100000000000001" customHeight="1">
      <c r="B58" s="742" t="s">
        <v>586</v>
      </c>
      <c r="C58" s="586" t="s">
        <v>14</v>
      </c>
      <c r="D58" s="586">
        <v>5074</v>
      </c>
      <c r="E58" s="585" t="s">
        <v>14</v>
      </c>
      <c r="F58" s="586">
        <v>1243</v>
      </c>
      <c r="G58" s="585">
        <v>1084</v>
      </c>
      <c r="H58" s="585" t="s">
        <v>14</v>
      </c>
      <c r="I58" s="662">
        <v>7401</v>
      </c>
    </row>
    <row r="59" spans="2:9" ht="20.100000000000001" customHeight="1">
      <c r="F59" s="52"/>
    </row>
  </sheetData>
  <mergeCells count="7">
    <mergeCell ref="C46:I46"/>
    <mergeCell ref="B2:H2"/>
    <mergeCell ref="B3:I3"/>
    <mergeCell ref="B4:I4"/>
    <mergeCell ref="B5:I5"/>
    <mergeCell ref="B6:I6"/>
    <mergeCell ref="C7:I7"/>
  </mergeCells>
  <pageMargins left="0.75" right="0.75" top="1" bottom="1" header="0.5" footer="0.5"/>
  <pageSetup paperSize="9" scale="65" orientation="portrait" horizontalDpi="4294967292" verticalDpi="4294967292"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48">
    <tabColor rgb="FF733E8D"/>
  </sheetPr>
  <dimension ref="B2:M86"/>
  <sheetViews>
    <sheetView showGridLines="0" view="pageBreakPreview" zoomScaleNormal="140" zoomScaleSheetLayoutView="100" zoomScalePageLayoutView="140" workbookViewId="0">
      <selection activeCell="B15" sqref="B15"/>
    </sheetView>
  </sheetViews>
  <sheetFormatPr defaultColWidth="10.875" defaultRowHeight="20.100000000000001" customHeight="1"/>
  <cols>
    <col min="1" max="1" width="5.5" style="468" customWidth="1"/>
    <col min="2" max="2" width="45.125" style="468" customWidth="1"/>
    <col min="3" max="16384" width="10.875" style="468"/>
  </cols>
  <sheetData>
    <row r="2" spans="2:13" ht="36.75" customHeight="1">
      <c r="B2" s="1206" t="str">
        <f>UPPER("Standardized measure of discounted future net cash flows (excluding transportation)")</f>
        <v>STANDARDIZED MEASURE OF DISCOUNTED FUTURE NET CASH FLOWS (EXCLUDING TRANSPORTATION)</v>
      </c>
      <c r="C2" s="1206"/>
      <c r="D2" s="1206"/>
      <c r="E2" s="1206"/>
      <c r="F2" s="809"/>
      <c r="G2" s="809"/>
      <c r="H2" s="808"/>
      <c r="I2" s="808"/>
      <c r="J2" s="808"/>
      <c r="K2" s="808"/>
      <c r="L2" s="808"/>
      <c r="M2" s="808"/>
    </row>
    <row r="4" spans="2:13" ht="20.100000000000001" customHeight="1">
      <c r="B4" s="717" t="s">
        <v>618</v>
      </c>
      <c r="C4" s="717"/>
      <c r="D4" s="717"/>
      <c r="E4" s="717"/>
      <c r="F4" s="717"/>
      <c r="G4" s="717"/>
      <c r="H4" s="717"/>
      <c r="I4" s="717"/>
      <c r="J4" s="717"/>
      <c r="K4" s="717"/>
      <c r="L4" s="717"/>
      <c r="M4" s="717"/>
    </row>
    <row r="5" spans="2:13" ht="20.100000000000001" customHeight="1">
      <c r="B5" s="717" t="s">
        <v>617</v>
      </c>
      <c r="C5" s="717"/>
      <c r="D5" s="717"/>
      <c r="E5" s="717"/>
      <c r="F5" s="717"/>
      <c r="G5" s="717"/>
      <c r="H5" s="717"/>
      <c r="I5" s="717"/>
      <c r="J5" s="717"/>
      <c r="K5" s="717"/>
      <c r="L5" s="717"/>
      <c r="M5" s="717"/>
    </row>
    <row r="6" spans="2:13" ht="20.100000000000001" customHeight="1">
      <c r="B6" s="717" t="s">
        <v>616</v>
      </c>
      <c r="C6" s="717"/>
      <c r="D6" s="717"/>
      <c r="E6" s="717"/>
      <c r="F6" s="717"/>
      <c r="G6" s="717"/>
      <c r="H6" s="717"/>
      <c r="I6" s="717"/>
      <c r="J6" s="717"/>
      <c r="K6" s="717"/>
      <c r="L6" s="717"/>
      <c r="M6" s="717"/>
    </row>
    <row r="7" spans="2:13" ht="20.100000000000001" customHeight="1">
      <c r="B7" s="717" t="s">
        <v>615</v>
      </c>
      <c r="C7" s="717"/>
      <c r="D7" s="717"/>
      <c r="E7" s="717"/>
      <c r="F7" s="717"/>
      <c r="G7" s="717"/>
      <c r="H7" s="717"/>
      <c r="I7" s="717"/>
      <c r="J7" s="717"/>
      <c r="K7" s="717"/>
      <c r="L7" s="717"/>
      <c r="M7" s="717"/>
    </row>
    <row r="8" spans="2:13" ht="20.100000000000001" customHeight="1">
      <c r="B8" s="717" t="s">
        <v>614</v>
      </c>
      <c r="C8" s="717"/>
      <c r="D8" s="717"/>
      <c r="E8" s="717"/>
      <c r="F8" s="717"/>
      <c r="G8" s="717"/>
      <c r="H8" s="717"/>
      <c r="I8" s="717"/>
      <c r="J8" s="717"/>
      <c r="K8" s="717"/>
      <c r="L8" s="717"/>
      <c r="M8" s="717"/>
    </row>
    <row r="9" spans="2:13" ht="21.95" customHeight="1">
      <c r="B9" s="717" t="s">
        <v>613</v>
      </c>
      <c r="C9" s="717"/>
      <c r="D9" s="717"/>
      <c r="E9" s="717"/>
      <c r="F9" s="717"/>
      <c r="G9" s="717"/>
      <c r="H9" s="717"/>
      <c r="I9" s="717"/>
      <c r="J9" s="717"/>
      <c r="K9" s="717"/>
      <c r="L9" s="717"/>
      <c r="M9" s="717"/>
    </row>
    <row r="10" spans="2:13" s="806" customFormat="1" ht="24" customHeight="1">
      <c r="B10" s="1207" t="s">
        <v>612</v>
      </c>
      <c r="C10" s="1207"/>
      <c r="D10" s="1207"/>
      <c r="E10" s="1207"/>
      <c r="F10" s="1207"/>
      <c r="G10" s="1207"/>
      <c r="H10" s="1207"/>
      <c r="I10" s="1207"/>
      <c r="J10" s="1207"/>
      <c r="K10" s="1207"/>
      <c r="L10" s="807"/>
      <c r="M10" s="807"/>
    </row>
    <row r="11" spans="2:13" ht="36.950000000000003" customHeight="1">
      <c r="B11" s="1208" t="s">
        <v>611</v>
      </c>
      <c r="C11" s="1208"/>
      <c r="D11" s="1208"/>
      <c r="E11" s="1208"/>
      <c r="F11" s="1208"/>
      <c r="G11" s="1208"/>
      <c r="H11" s="1208"/>
      <c r="I11" s="1208"/>
      <c r="J11" s="1208"/>
      <c r="K11" s="1208"/>
      <c r="L11" s="805"/>
      <c r="M11" s="805"/>
    </row>
    <row r="12" spans="2:13" ht="20.100000000000001" customHeight="1">
      <c r="B12" s="715"/>
    </row>
    <row r="13" spans="2:13" ht="20.100000000000001" customHeight="1">
      <c r="B13" s="696" t="s">
        <v>13</v>
      </c>
      <c r="C13" s="1192" t="s">
        <v>470</v>
      </c>
      <c r="D13" s="1192"/>
      <c r="E13" s="1192"/>
      <c r="F13" s="1192"/>
      <c r="G13" s="1192"/>
      <c r="H13" s="1192"/>
      <c r="I13" s="1192"/>
    </row>
    <row r="14" spans="2:13" s="435" customFormat="1" ht="55.5" customHeight="1">
      <c r="B14" s="693"/>
      <c r="C14" s="694" t="s">
        <v>482</v>
      </c>
      <c r="D14" s="693" t="s">
        <v>421</v>
      </c>
      <c r="E14" s="694" t="s">
        <v>481</v>
      </c>
      <c r="F14" s="694" t="s">
        <v>480</v>
      </c>
      <c r="G14" s="694" t="s">
        <v>443</v>
      </c>
      <c r="H14" s="693" t="s">
        <v>434</v>
      </c>
      <c r="I14" s="693" t="s">
        <v>36</v>
      </c>
    </row>
    <row r="15" spans="2:13" ht="20.100000000000001" customHeight="1">
      <c r="B15" s="637" t="s">
        <v>589</v>
      </c>
      <c r="C15" s="791"/>
      <c r="D15" s="336"/>
      <c r="E15" s="336"/>
      <c r="F15" s="336"/>
      <c r="G15" s="336"/>
      <c r="H15" s="336"/>
      <c r="I15" s="790"/>
    </row>
    <row r="16" spans="2:13" ht="20.100000000000001" customHeight="1">
      <c r="B16" s="363" t="s">
        <v>601</v>
      </c>
      <c r="C16" s="661">
        <v>161952</v>
      </c>
      <c r="D16" s="366">
        <v>2578</v>
      </c>
      <c r="E16" s="366">
        <v>207980</v>
      </c>
      <c r="F16" s="366">
        <v>41873</v>
      </c>
      <c r="G16" s="366">
        <v>74932</v>
      </c>
      <c r="H16" s="366">
        <v>47091</v>
      </c>
      <c r="I16" s="32">
        <v>536406</v>
      </c>
    </row>
    <row r="17" spans="2:9" ht="20.100000000000001" customHeight="1">
      <c r="B17" s="363" t="s">
        <v>600</v>
      </c>
      <c r="C17" s="661">
        <v>-34598</v>
      </c>
      <c r="D17" s="366">
        <v>-1633</v>
      </c>
      <c r="E17" s="366">
        <v>-47758</v>
      </c>
      <c r="F17" s="366">
        <v>-9341</v>
      </c>
      <c r="G17" s="366">
        <v>-33282</v>
      </c>
      <c r="H17" s="366">
        <v>-9592</v>
      </c>
      <c r="I17" s="32">
        <v>-136204</v>
      </c>
    </row>
    <row r="18" spans="2:9" ht="20.100000000000001" customHeight="1">
      <c r="B18" s="363" t="s">
        <v>599</v>
      </c>
      <c r="C18" s="661">
        <v>-35054</v>
      </c>
      <c r="D18" s="366">
        <v>-613</v>
      </c>
      <c r="E18" s="366">
        <v>-36644</v>
      </c>
      <c r="F18" s="366">
        <v>-5504</v>
      </c>
      <c r="G18" s="366">
        <v>-16689</v>
      </c>
      <c r="H18" s="366">
        <v>-10013</v>
      </c>
      <c r="I18" s="32">
        <v>-104517</v>
      </c>
    </row>
    <row r="19" spans="2:9" ht="20.100000000000001" customHeight="1">
      <c r="B19" s="365" t="s">
        <v>598</v>
      </c>
      <c r="C19" s="664">
        <v>-42428</v>
      </c>
      <c r="D19" s="367">
        <v>-237</v>
      </c>
      <c r="E19" s="367">
        <v>-76536</v>
      </c>
      <c r="F19" s="367">
        <v>-14645</v>
      </c>
      <c r="G19" s="367">
        <v>-5743</v>
      </c>
      <c r="H19" s="367">
        <v>-8931</v>
      </c>
      <c r="I19" s="663">
        <v>-148520</v>
      </c>
    </row>
    <row r="20" spans="2:9" ht="20.100000000000001" customHeight="1">
      <c r="B20" s="433" t="s">
        <v>597</v>
      </c>
      <c r="C20" s="432">
        <v>49872</v>
      </c>
      <c r="D20" s="344">
        <v>95</v>
      </c>
      <c r="E20" s="344">
        <v>47042</v>
      </c>
      <c r="F20" s="344">
        <v>12383</v>
      </c>
      <c r="G20" s="344">
        <v>19218</v>
      </c>
      <c r="H20" s="344">
        <v>18555</v>
      </c>
      <c r="I20" s="436">
        <v>147165</v>
      </c>
    </row>
    <row r="21" spans="2:9" ht="20.100000000000001" customHeight="1">
      <c r="B21" s="365" t="s">
        <v>596</v>
      </c>
      <c r="C21" s="664">
        <v>-28139</v>
      </c>
      <c r="D21" s="367">
        <v>7</v>
      </c>
      <c r="E21" s="367">
        <v>-20374</v>
      </c>
      <c r="F21" s="367">
        <v>-5347</v>
      </c>
      <c r="G21" s="367">
        <v>-14960</v>
      </c>
      <c r="H21" s="367">
        <v>-11200</v>
      </c>
      <c r="I21" s="663">
        <v>-80013</v>
      </c>
    </row>
    <row r="22" spans="2:9" ht="20.100000000000001" customHeight="1">
      <c r="B22" s="742" t="s">
        <v>595</v>
      </c>
      <c r="C22" s="586">
        <v>21733</v>
      </c>
      <c r="D22" s="585">
        <v>102</v>
      </c>
      <c r="E22" s="585">
        <v>26668</v>
      </c>
      <c r="F22" s="585">
        <v>7036</v>
      </c>
      <c r="G22" s="585">
        <v>4258</v>
      </c>
      <c r="H22" s="585">
        <v>7355</v>
      </c>
      <c r="I22" s="662">
        <v>67152</v>
      </c>
    </row>
    <row r="23" spans="2:9" ht="20.100000000000001" customHeight="1">
      <c r="B23" s="637" t="s">
        <v>166</v>
      </c>
      <c r="C23" s="804"/>
      <c r="D23" s="803"/>
      <c r="E23" s="803"/>
      <c r="F23" s="803"/>
      <c r="G23" s="803"/>
      <c r="H23" s="803"/>
      <c r="I23" s="802"/>
    </row>
    <row r="24" spans="2:9" ht="20.100000000000001" customHeight="1">
      <c r="B24" s="363" t="s">
        <v>601</v>
      </c>
      <c r="C24" s="661">
        <v>152957</v>
      </c>
      <c r="D24" s="366">
        <v>2332</v>
      </c>
      <c r="E24" s="366">
        <v>187609</v>
      </c>
      <c r="F24" s="366">
        <v>37545</v>
      </c>
      <c r="G24" s="366">
        <v>78813</v>
      </c>
      <c r="H24" s="366">
        <v>47415</v>
      </c>
      <c r="I24" s="32">
        <v>506671</v>
      </c>
    </row>
    <row r="25" spans="2:9" ht="20.100000000000001" customHeight="1">
      <c r="B25" s="363" t="s">
        <v>600</v>
      </c>
      <c r="C25" s="661">
        <v>-33817</v>
      </c>
      <c r="D25" s="366">
        <v>-1456</v>
      </c>
      <c r="E25" s="366">
        <v>-48150</v>
      </c>
      <c r="F25" s="366">
        <v>-9331</v>
      </c>
      <c r="G25" s="366">
        <v>-36172</v>
      </c>
      <c r="H25" s="366">
        <v>-9704</v>
      </c>
      <c r="I25" s="32">
        <v>-138630</v>
      </c>
    </row>
    <row r="26" spans="2:9" ht="20.100000000000001" customHeight="1">
      <c r="B26" s="363" t="s">
        <v>599</v>
      </c>
      <c r="C26" s="661">
        <v>-37142</v>
      </c>
      <c r="D26" s="366">
        <v>-526</v>
      </c>
      <c r="E26" s="366">
        <v>-33597</v>
      </c>
      <c r="F26" s="366">
        <v>-5050</v>
      </c>
      <c r="G26" s="366">
        <v>-18844</v>
      </c>
      <c r="H26" s="366">
        <v>-9961</v>
      </c>
      <c r="I26" s="32">
        <v>-105120</v>
      </c>
    </row>
    <row r="27" spans="2:9" ht="20.100000000000001" customHeight="1">
      <c r="B27" s="365" t="s">
        <v>598</v>
      </c>
      <c r="C27" s="664">
        <v>-34210</v>
      </c>
      <c r="D27" s="367">
        <v>-219</v>
      </c>
      <c r="E27" s="367">
        <v>-63662</v>
      </c>
      <c r="F27" s="367">
        <v>-12600</v>
      </c>
      <c r="G27" s="367">
        <v>-5190</v>
      </c>
      <c r="H27" s="367">
        <v>-8043</v>
      </c>
      <c r="I27" s="663">
        <v>-123924</v>
      </c>
    </row>
    <row r="28" spans="2:9" ht="20.100000000000001" customHeight="1">
      <c r="B28" s="433" t="s">
        <v>597</v>
      </c>
      <c r="C28" s="432">
        <v>47788</v>
      </c>
      <c r="D28" s="344">
        <v>131</v>
      </c>
      <c r="E28" s="344">
        <v>42200</v>
      </c>
      <c r="F28" s="344">
        <v>10564</v>
      </c>
      <c r="G28" s="344">
        <v>18607</v>
      </c>
      <c r="H28" s="344">
        <v>19707</v>
      </c>
      <c r="I28" s="436">
        <v>138997</v>
      </c>
    </row>
    <row r="29" spans="2:9" ht="20.100000000000001" customHeight="1">
      <c r="B29" s="365" t="s">
        <v>596</v>
      </c>
      <c r="C29" s="664">
        <v>-26590</v>
      </c>
      <c r="D29" s="367">
        <v>-49</v>
      </c>
      <c r="E29" s="367">
        <v>-17161</v>
      </c>
      <c r="F29" s="367">
        <v>-4726</v>
      </c>
      <c r="G29" s="367">
        <v>-15304</v>
      </c>
      <c r="H29" s="367">
        <v>-11893</v>
      </c>
      <c r="I29" s="663">
        <v>-75723</v>
      </c>
    </row>
    <row r="30" spans="2:9" ht="20.100000000000001" customHeight="1">
      <c r="B30" s="742" t="s">
        <v>595</v>
      </c>
      <c r="C30" s="586">
        <v>21198</v>
      </c>
      <c r="D30" s="585">
        <v>82</v>
      </c>
      <c r="E30" s="585">
        <v>25039</v>
      </c>
      <c r="F30" s="585">
        <v>5838</v>
      </c>
      <c r="G30" s="585">
        <v>3303</v>
      </c>
      <c r="H30" s="585">
        <v>7814</v>
      </c>
      <c r="I30" s="662">
        <v>63274</v>
      </c>
    </row>
    <row r="31" spans="2:9" ht="20.100000000000001" customHeight="1">
      <c r="B31" s="637" t="s">
        <v>167</v>
      </c>
      <c r="C31" s="791"/>
      <c r="D31" s="336"/>
      <c r="E31" s="336"/>
      <c r="F31" s="336"/>
      <c r="G31" s="336"/>
      <c r="H31" s="336"/>
      <c r="I31" s="790"/>
    </row>
    <row r="32" spans="2:9" ht="20.100000000000001" customHeight="1">
      <c r="B32" s="363" t="s">
        <v>601</v>
      </c>
      <c r="C32" s="661">
        <v>129535</v>
      </c>
      <c r="D32" s="366">
        <v>2294</v>
      </c>
      <c r="E32" s="366">
        <v>168785</v>
      </c>
      <c r="F32" s="366">
        <v>33404</v>
      </c>
      <c r="G32" s="366">
        <v>87965</v>
      </c>
      <c r="H32" s="366">
        <v>44599</v>
      </c>
      <c r="I32" s="32">
        <v>466582</v>
      </c>
    </row>
    <row r="33" spans="2:9" ht="20.100000000000001" customHeight="1">
      <c r="B33" s="363" t="s">
        <v>600</v>
      </c>
      <c r="C33" s="661">
        <v>-30633</v>
      </c>
      <c r="D33" s="366">
        <v>-1255</v>
      </c>
      <c r="E33" s="366">
        <v>-47514</v>
      </c>
      <c r="F33" s="366">
        <v>-8522</v>
      </c>
      <c r="G33" s="366">
        <v>-38776</v>
      </c>
      <c r="H33" s="366">
        <v>-9789</v>
      </c>
      <c r="I33" s="32">
        <v>-136489</v>
      </c>
    </row>
    <row r="34" spans="2:9" ht="20.100000000000001" customHeight="1">
      <c r="B34" s="363" t="s">
        <v>599</v>
      </c>
      <c r="C34" s="661">
        <v>-32110</v>
      </c>
      <c r="D34" s="366">
        <v>-780</v>
      </c>
      <c r="E34" s="366">
        <v>-34965</v>
      </c>
      <c r="F34" s="366">
        <v>-4253</v>
      </c>
      <c r="G34" s="366">
        <v>-16728</v>
      </c>
      <c r="H34" s="366">
        <v>-8595</v>
      </c>
      <c r="I34" s="32">
        <v>-97431</v>
      </c>
    </row>
    <row r="35" spans="2:9" ht="20.100000000000001" customHeight="1">
      <c r="B35" s="365" t="s">
        <v>598</v>
      </c>
      <c r="C35" s="664">
        <v>-21287</v>
      </c>
      <c r="D35" s="367">
        <v>-172</v>
      </c>
      <c r="E35" s="367">
        <v>-50633</v>
      </c>
      <c r="F35" s="367">
        <v>-11310</v>
      </c>
      <c r="G35" s="367">
        <v>-5891</v>
      </c>
      <c r="H35" s="367">
        <v>-7552</v>
      </c>
      <c r="I35" s="663">
        <v>-96845</v>
      </c>
    </row>
    <row r="36" spans="2:9" ht="20.100000000000001" customHeight="1">
      <c r="B36" s="433" t="s">
        <v>597</v>
      </c>
      <c r="C36" s="432">
        <v>45505</v>
      </c>
      <c r="D36" s="344">
        <v>87</v>
      </c>
      <c r="E36" s="344">
        <v>35673</v>
      </c>
      <c r="F36" s="344">
        <v>9319</v>
      </c>
      <c r="G36" s="344">
        <v>26570</v>
      </c>
      <c r="H36" s="344">
        <v>18663</v>
      </c>
      <c r="I36" s="436">
        <v>135817</v>
      </c>
    </row>
    <row r="37" spans="2:9" ht="20.100000000000001" customHeight="1">
      <c r="B37" s="365" t="s">
        <v>596</v>
      </c>
      <c r="C37" s="664">
        <v>-26240</v>
      </c>
      <c r="D37" s="367">
        <v>-5</v>
      </c>
      <c r="E37" s="367">
        <v>-13955</v>
      </c>
      <c r="F37" s="367">
        <v>-4244</v>
      </c>
      <c r="G37" s="367">
        <v>-19489</v>
      </c>
      <c r="H37" s="367">
        <v>-11110</v>
      </c>
      <c r="I37" s="663">
        <v>-75043</v>
      </c>
    </row>
    <row r="38" spans="2:9" ht="20.100000000000001" customHeight="1">
      <c r="B38" s="742" t="s">
        <v>595</v>
      </c>
      <c r="C38" s="586">
        <v>19265</v>
      </c>
      <c r="D38" s="585">
        <v>82</v>
      </c>
      <c r="E38" s="585">
        <v>21718</v>
      </c>
      <c r="F38" s="585">
        <v>5075</v>
      </c>
      <c r="G38" s="585">
        <v>7081</v>
      </c>
      <c r="H38" s="585">
        <v>7553</v>
      </c>
      <c r="I38" s="662">
        <v>60774</v>
      </c>
    </row>
    <row r="39" spans="2:9" ht="20.100000000000001" customHeight="1">
      <c r="B39" s="637" t="s">
        <v>610</v>
      </c>
      <c r="C39" s="791"/>
      <c r="D39" s="336"/>
      <c r="E39" s="336"/>
      <c r="F39" s="336"/>
      <c r="G39" s="336"/>
      <c r="H39" s="336"/>
      <c r="I39" s="790"/>
    </row>
    <row r="40" spans="2:9" ht="20.100000000000001" customHeight="1">
      <c r="B40" s="363" t="s">
        <v>601</v>
      </c>
      <c r="C40" s="661">
        <v>69411</v>
      </c>
      <c r="D40" s="366">
        <v>1045</v>
      </c>
      <c r="E40" s="366">
        <v>75060</v>
      </c>
      <c r="F40" s="366">
        <v>57478</v>
      </c>
      <c r="G40" s="366">
        <v>40866</v>
      </c>
      <c r="H40" s="366">
        <v>26904</v>
      </c>
      <c r="I40" s="32">
        <v>270764</v>
      </c>
    </row>
    <row r="41" spans="2:9" ht="20.100000000000001" customHeight="1">
      <c r="B41" s="363" t="s">
        <v>600</v>
      </c>
      <c r="C41" s="661">
        <v>-20263</v>
      </c>
      <c r="D41" s="366">
        <v>-512</v>
      </c>
      <c r="E41" s="366">
        <v>-27455</v>
      </c>
      <c r="F41" s="366">
        <v>-46510</v>
      </c>
      <c r="G41" s="366">
        <v>-24103</v>
      </c>
      <c r="H41" s="366">
        <v>-8355</v>
      </c>
      <c r="I41" s="32">
        <v>-127198</v>
      </c>
    </row>
    <row r="42" spans="2:9" ht="20.100000000000001" customHeight="1">
      <c r="B42" s="363" t="s">
        <v>599</v>
      </c>
      <c r="C42" s="661">
        <v>-20418</v>
      </c>
      <c r="D42" s="366">
        <v>-495</v>
      </c>
      <c r="E42" s="366">
        <v>-24843</v>
      </c>
      <c r="F42" s="366">
        <v>-5099</v>
      </c>
      <c r="G42" s="366">
        <v>-11104</v>
      </c>
      <c r="H42" s="366">
        <v>-6289</v>
      </c>
      <c r="I42" s="32">
        <v>-68248</v>
      </c>
    </row>
    <row r="43" spans="2:9" ht="20.100000000000001" customHeight="1">
      <c r="B43" s="365" t="s">
        <v>598</v>
      </c>
      <c r="C43" s="664">
        <v>-7516</v>
      </c>
      <c r="D43" s="367">
        <v>-28</v>
      </c>
      <c r="E43" s="367">
        <v>-12050</v>
      </c>
      <c r="F43" s="367">
        <v>-1839</v>
      </c>
      <c r="G43" s="367">
        <v>-1105</v>
      </c>
      <c r="H43" s="367">
        <v>-3046</v>
      </c>
      <c r="I43" s="663">
        <v>-25584</v>
      </c>
    </row>
    <row r="44" spans="2:9" ht="20.100000000000001" customHeight="1">
      <c r="B44" s="433" t="s">
        <v>597</v>
      </c>
      <c r="C44" s="432">
        <v>21214</v>
      </c>
      <c r="D44" s="344">
        <v>10</v>
      </c>
      <c r="E44" s="344">
        <v>10712</v>
      </c>
      <c r="F44" s="344">
        <v>4030</v>
      </c>
      <c r="G44" s="344">
        <v>4554</v>
      </c>
      <c r="H44" s="344">
        <v>9214</v>
      </c>
      <c r="I44" s="436">
        <v>49734</v>
      </c>
    </row>
    <row r="45" spans="2:9" ht="20.100000000000001" customHeight="1">
      <c r="B45" s="365" t="s">
        <v>596</v>
      </c>
      <c r="C45" s="664">
        <v>-10784</v>
      </c>
      <c r="D45" s="367">
        <v>18</v>
      </c>
      <c r="E45" s="367">
        <v>-3450</v>
      </c>
      <c r="F45" s="367">
        <v>-2194</v>
      </c>
      <c r="G45" s="367">
        <v>-4014</v>
      </c>
      <c r="H45" s="367">
        <v>-5299</v>
      </c>
      <c r="I45" s="663">
        <v>-25723</v>
      </c>
    </row>
    <row r="46" spans="2:9" ht="20.100000000000001" customHeight="1">
      <c r="B46" s="742" t="s">
        <v>595</v>
      </c>
      <c r="C46" s="586">
        <v>10430</v>
      </c>
      <c r="D46" s="585">
        <v>28</v>
      </c>
      <c r="E46" s="585">
        <v>7262</v>
      </c>
      <c r="F46" s="585">
        <v>1836</v>
      </c>
      <c r="G46" s="585">
        <v>540</v>
      </c>
      <c r="H46" s="585">
        <v>3915</v>
      </c>
      <c r="I46" s="662">
        <v>24011</v>
      </c>
    </row>
    <row r="47" spans="2:9" ht="20.100000000000001" customHeight="1">
      <c r="B47" s="637" t="s">
        <v>243</v>
      </c>
      <c r="C47" s="791"/>
      <c r="D47" s="336"/>
      <c r="E47" s="336"/>
      <c r="F47" s="336"/>
      <c r="G47" s="336"/>
      <c r="H47" s="336"/>
      <c r="I47" s="790"/>
    </row>
    <row r="48" spans="2:9" ht="20.100000000000001" customHeight="1">
      <c r="B48" s="363" t="s">
        <v>601</v>
      </c>
      <c r="C48" s="661">
        <v>46212</v>
      </c>
      <c r="D48" s="366">
        <v>365</v>
      </c>
      <c r="E48" s="366">
        <v>51677</v>
      </c>
      <c r="F48" s="366">
        <v>52891</v>
      </c>
      <c r="G48" s="366">
        <v>21520</v>
      </c>
      <c r="H48" s="366">
        <v>19209</v>
      </c>
      <c r="I48" s="32">
        <v>191874</v>
      </c>
    </row>
    <row r="49" spans="2:9" ht="20.100000000000001" customHeight="1">
      <c r="B49" s="363" t="s">
        <v>600</v>
      </c>
      <c r="C49" s="661">
        <v>-15428</v>
      </c>
      <c r="D49" s="366">
        <v>-179</v>
      </c>
      <c r="E49" s="366">
        <v>-19519</v>
      </c>
      <c r="F49" s="366">
        <v>-39108</v>
      </c>
      <c r="G49" s="366">
        <v>-14267</v>
      </c>
      <c r="H49" s="366">
        <v>-7495</v>
      </c>
      <c r="I49" s="32">
        <v>-95996</v>
      </c>
    </row>
    <row r="50" spans="2:9" ht="20.100000000000001" customHeight="1">
      <c r="B50" s="363" t="s">
        <v>599</v>
      </c>
      <c r="C50" s="661">
        <v>-15334</v>
      </c>
      <c r="D50" s="366">
        <v>-219</v>
      </c>
      <c r="E50" s="366">
        <v>-19300</v>
      </c>
      <c r="F50" s="366">
        <v>-4995</v>
      </c>
      <c r="G50" s="366">
        <v>-5487</v>
      </c>
      <c r="H50" s="366">
        <v>-4805</v>
      </c>
      <c r="I50" s="32">
        <v>-50140</v>
      </c>
    </row>
    <row r="51" spans="2:9" ht="20.100000000000001" customHeight="1">
      <c r="B51" s="365" t="s">
        <v>598</v>
      </c>
      <c r="C51" s="664">
        <v>-2599</v>
      </c>
      <c r="D51" s="367">
        <v>-1</v>
      </c>
      <c r="E51" s="367">
        <v>-7480</v>
      </c>
      <c r="F51" s="367">
        <v>-2517</v>
      </c>
      <c r="G51" s="367">
        <v>-989</v>
      </c>
      <c r="H51" s="367">
        <v>-955</v>
      </c>
      <c r="I51" s="663">
        <v>-14541</v>
      </c>
    </row>
    <row r="52" spans="2:9" ht="20.100000000000001" customHeight="1">
      <c r="B52" s="433" t="s">
        <v>597</v>
      </c>
      <c r="C52" s="432">
        <v>12851</v>
      </c>
      <c r="D52" s="344">
        <v>-34</v>
      </c>
      <c r="E52" s="344">
        <v>5378</v>
      </c>
      <c r="F52" s="344">
        <v>6271</v>
      </c>
      <c r="G52" s="344">
        <v>777</v>
      </c>
      <c r="H52" s="344">
        <v>5954</v>
      </c>
      <c r="I52" s="436">
        <v>31197</v>
      </c>
    </row>
    <row r="53" spans="2:9" ht="20.100000000000001" customHeight="1">
      <c r="B53" s="365" t="s">
        <v>596</v>
      </c>
      <c r="C53" s="664">
        <v>-5172</v>
      </c>
      <c r="D53" s="367">
        <v>8</v>
      </c>
      <c r="E53" s="367">
        <v>-64</v>
      </c>
      <c r="F53" s="367">
        <v>-2986</v>
      </c>
      <c r="G53" s="367">
        <v>-815</v>
      </c>
      <c r="H53" s="367">
        <v>-2666</v>
      </c>
      <c r="I53" s="663">
        <v>-11695</v>
      </c>
    </row>
    <row r="54" spans="2:9" ht="20.100000000000001" customHeight="1">
      <c r="B54" s="742" t="s">
        <v>595</v>
      </c>
      <c r="C54" s="586">
        <v>7679</v>
      </c>
      <c r="D54" s="585">
        <v>-26</v>
      </c>
      <c r="E54" s="585">
        <v>5314</v>
      </c>
      <c r="F54" s="585">
        <v>3285</v>
      </c>
      <c r="G54" s="585">
        <v>-38</v>
      </c>
      <c r="H54" s="585">
        <v>3288</v>
      </c>
      <c r="I54" s="662">
        <v>19502</v>
      </c>
    </row>
    <row r="55" spans="2:9" ht="20.100000000000001" customHeight="1">
      <c r="B55" s="637" t="s">
        <v>304</v>
      </c>
      <c r="C55" s="791"/>
      <c r="D55" s="336"/>
      <c r="E55" s="336"/>
      <c r="F55" s="336"/>
      <c r="G55" s="336"/>
      <c r="H55" s="336"/>
      <c r="I55" s="790"/>
    </row>
    <row r="56" spans="2:9" ht="20.100000000000001" customHeight="1">
      <c r="B56" s="363" t="s">
        <v>601</v>
      </c>
      <c r="C56" s="661">
        <v>58133</v>
      </c>
      <c r="D56" s="366">
        <v>420</v>
      </c>
      <c r="E56" s="366">
        <v>63319</v>
      </c>
      <c r="F56" s="366">
        <v>67180</v>
      </c>
      <c r="G56" s="366">
        <v>37203</v>
      </c>
      <c r="H56" s="366">
        <v>20616</v>
      </c>
      <c r="I56" s="32">
        <v>246871</v>
      </c>
    </row>
    <row r="57" spans="2:9" ht="20.100000000000001" customHeight="1">
      <c r="B57" s="363" t="s">
        <v>600</v>
      </c>
      <c r="C57" s="661">
        <v>-16644</v>
      </c>
      <c r="D57" s="366">
        <v>-221</v>
      </c>
      <c r="E57" s="366">
        <v>-18554</v>
      </c>
      <c r="F57" s="366">
        <v>-50240</v>
      </c>
      <c r="G57" s="366">
        <v>-19372</v>
      </c>
      <c r="H57" s="366">
        <v>-5780</v>
      </c>
      <c r="I57" s="32">
        <v>-110811</v>
      </c>
    </row>
    <row r="58" spans="2:9" ht="20.100000000000001" customHeight="1">
      <c r="B58" s="363" t="s">
        <v>599</v>
      </c>
      <c r="C58" s="661">
        <v>-13302</v>
      </c>
      <c r="D58" s="366">
        <v>-115</v>
      </c>
      <c r="E58" s="366">
        <v>-15319</v>
      </c>
      <c r="F58" s="366">
        <v>-5648</v>
      </c>
      <c r="G58" s="366">
        <v>-6337</v>
      </c>
      <c r="H58" s="366">
        <v>-4044</v>
      </c>
      <c r="I58" s="32">
        <v>-44765</v>
      </c>
    </row>
    <row r="59" spans="2:9" ht="20.100000000000001" customHeight="1">
      <c r="B59" s="365" t="s">
        <v>598</v>
      </c>
      <c r="C59" s="664">
        <v>-9385</v>
      </c>
      <c r="D59" s="367">
        <v>-36</v>
      </c>
      <c r="E59" s="367">
        <v>-11403</v>
      </c>
      <c r="F59" s="367">
        <v>-4450</v>
      </c>
      <c r="G59" s="367">
        <v>-921</v>
      </c>
      <c r="H59" s="367">
        <v>-1721</v>
      </c>
      <c r="I59" s="663">
        <v>-27916</v>
      </c>
    </row>
    <row r="60" spans="2:9" ht="20.100000000000001" customHeight="1">
      <c r="B60" s="433" t="s">
        <v>597</v>
      </c>
      <c r="C60" s="432">
        <v>18802</v>
      </c>
      <c r="D60" s="344">
        <v>47</v>
      </c>
      <c r="E60" s="344">
        <v>18043</v>
      </c>
      <c r="F60" s="344">
        <v>6843</v>
      </c>
      <c r="G60" s="344">
        <v>10572</v>
      </c>
      <c r="H60" s="344">
        <v>9070</v>
      </c>
      <c r="I60" s="436">
        <v>63377</v>
      </c>
    </row>
    <row r="61" spans="2:9" ht="20.100000000000001" customHeight="1">
      <c r="B61" s="365" t="s">
        <v>596</v>
      </c>
      <c r="C61" s="664">
        <v>-8106</v>
      </c>
      <c r="D61" s="367">
        <v>-3</v>
      </c>
      <c r="E61" s="367">
        <v>-4977</v>
      </c>
      <c r="F61" s="367">
        <v>-3065</v>
      </c>
      <c r="G61" s="367">
        <v>-6562</v>
      </c>
      <c r="H61" s="367">
        <v>-3567</v>
      </c>
      <c r="I61" s="663">
        <v>-26280</v>
      </c>
    </row>
    <row r="62" spans="2:9" ht="20.100000000000001" customHeight="1">
      <c r="B62" s="742" t="s">
        <v>595</v>
      </c>
      <c r="C62" s="586">
        <v>10696</v>
      </c>
      <c r="D62" s="585">
        <v>44</v>
      </c>
      <c r="E62" s="585">
        <v>13066</v>
      </c>
      <c r="F62" s="585">
        <v>3778</v>
      </c>
      <c r="G62" s="585">
        <v>4010</v>
      </c>
      <c r="H62" s="585">
        <v>5503</v>
      </c>
      <c r="I62" s="662">
        <v>37097</v>
      </c>
    </row>
    <row r="63" spans="2:9" ht="20.100000000000001" customHeight="1">
      <c r="B63" s="470"/>
      <c r="C63" s="801"/>
      <c r="D63" s="800"/>
      <c r="E63" s="800"/>
      <c r="F63" s="800"/>
      <c r="G63" s="800"/>
      <c r="H63" s="800"/>
      <c r="I63" s="6"/>
    </row>
    <row r="64" spans="2:9" ht="20.100000000000001" customHeight="1">
      <c r="B64" s="799" t="s">
        <v>609</v>
      </c>
      <c r="C64" s="667"/>
      <c r="D64" s="669"/>
      <c r="E64" s="669"/>
      <c r="F64" s="669"/>
      <c r="G64" s="669"/>
      <c r="H64" s="669"/>
      <c r="I64" s="666"/>
    </row>
    <row r="65" spans="2:9" ht="20.100000000000001" customHeight="1">
      <c r="B65" s="363" t="s">
        <v>607</v>
      </c>
      <c r="C65" s="661" t="s">
        <v>14</v>
      </c>
      <c r="D65" s="366" t="s">
        <v>14</v>
      </c>
      <c r="E65" s="366">
        <v>646</v>
      </c>
      <c r="F65" s="366" t="s">
        <v>14</v>
      </c>
      <c r="G65" s="366" t="s">
        <v>14</v>
      </c>
      <c r="H65" s="366" t="s">
        <v>14</v>
      </c>
      <c r="I65" s="32">
        <v>646</v>
      </c>
    </row>
    <row r="66" spans="2:9" ht="20.100000000000001" customHeight="1">
      <c r="B66" s="363" t="s">
        <v>606</v>
      </c>
      <c r="C66" s="661" t="s">
        <v>14</v>
      </c>
      <c r="D66" s="366" t="s">
        <v>14</v>
      </c>
      <c r="E66" s="366">
        <v>808</v>
      </c>
      <c r="F66" s="366" t="s">
        <v>14</v>
      </c>
      <c r="G66" s="366" t="s">
        <v>14</v>
      </c>
      <c r="H66" s="366" t="s">
        <v>14</v>
      </c>
      <c r="I66" s="32">
        <v>808</v>
      </c>
    </row>
    <row r="67" spans="2:9" ht="20.100000000000001" customHeight="1">
      <c r="B67" s="365" t="s">
        <v>605</v>
      </c>
      <c r="C67" s="664" t="s">
        <v>14</v>
      </c>
      <c r="D67" s="367" t="s">
        <v>505</v>
      </c>
      <c r="E67" s="367">
        <v>1103</v>
      </c>
      <c r="F67" s="367" t="s">
        <v>14</v>
      </c>
      <c r="G67" s="367" t="s">
        <v>14</v>
      </c>
      <c r="H67" s="367" t="s">
        <v>14</v>
      </c>
      <c r="I67" s="663">
        <v>1103</v>
      </c>
    </row>
    <row r="68" spans="2:9" ht="20.100000000000001" customHeight="1">
      <c r="B68" s="365" t="s">
        <v>604</v>
      </c>
      <c r="C68" s="664" t="s">
        <v>14</v>
      </c>
      <c r="D68" s="367" t="s">
        <v>14</v>
      </c>
      <c r="E68" s="367">
        <v>448</v>
      </c>
      <c r="F68" s="367" t="s">
        <v>14</v>
      </c>
      <c r="G68" s="367" t="s">
        <v>14</v>
      </c>
      <c r="H68" s="367" t="s">
        <v>14</v>
      </c>
      <c r="I68" s="663">
        <v>448</v>
      </c>
    </row>
    <row r="69" spans="2:9" ht="20.100000000000001" customHeight="1">
      <c r="B69" s="365" t="s">
        <v>603</v>
      </c>
      <c r="C69" s="664" t="s">
        <v>14</v>
      </c>
      <c r="D69" s="367" t="s">
        <v>14</v>
      </c>
      <c r="E69" s="367">
        <v>253</v>
      </c>
      <c r="F69" s="367" t="s">
        <v>14</v>
      </c>
      <c r="G69" s="367" t="s">
        <v>14</v>
      </c>
      <c r="H69" s="367" t="s">
        <v>14</v>
      </c>
      <c r="I69" s="663">
        <v>253</v>
      </c>
    </row>
    <row r="70" spans="2:9" ht="20.100000000000001" customHeight="1">
      <c r="B70" s="742" t="s">
        <v>602</v>
      </c>
      <c r="C70" s="586" t="s">
        <v>14</v>
      </c>
      <c r="D70" s="585" t="s">
        <v>14</v>
      </c>
      <c r="E70" s="585">
        <v>862.46212192826272</v>
      </c>
      <c r="F70" s="585" t="s">
        <v>14</v>
      </c>
      <c r="G70" s="585" t="s">
        <v>14</v>
      </c>
      <c r="H70" s="585" t="s">
        <v>14</v>
      </c>
      <c r="I70" s="662">
        <v>862.46212192826272</v>
      </c>
    </row>
    <row r="72" spans="2:9" ht="20.100000000000001" customHeight="1">
      <c r="B72" s="785" t="s">
        <v>13</v>
      </c>
      <c r="C72" s="1202" t="s">
        <v>469</v>
      </c>
      <c r="D72" s="1202"/>
      <c r="E72" s="1202"/>
      <c r="F72" s="1202"/>
      <c r="G72" s="1202"/>
      <c r="H72" s="1202"/>
      <c r="I72" s="1202"/>
    </row>
    <row r="73" spans="2:9" s="435" customFormat="1" ht="59.25" customHeight="1">
      <c r="B73" s="798" t="s">
        <v>608</v>
      </c>
      <c r="C73" s="694" t="s">
        <v>482</v>
      </c>
      <c r="D73" s="693" t="s">
        <v>421</v>
      </c>
      <c r="E73" s="694" t="s">
        <v>481</v>
      </c>
      <c r="F73" s="694" t="s">
        <v>480</v>
      </c>
      <c r="G73" s="694" t="s">
        <v>443</v>
      </c>
      <c r="H73" s="693" t="s">
        <v>434</v>
      </c>
      <c r="I73" s="693" t="s">
        <v>36</v>
      </c>
    </row>
    <row r="74" spans="2:9" ht="20.100000000000001" customHeight="1">
      <c r="B74" s="363" t="s">
        <v>607</v>
      </c>
      <c r="C74" s="661" t="s">
        <v>14</v>
      </c>
      <c r="D74" s="366">
        <v>794</v>
      </c>
      <c r="E74" s="366">
        <v>676</v>
      </c>
      <c r="F74" s="366">
        <v>12491</v>
      </c>
      <c r="G74" s="366">
        <v>1930</v>
      </c>
      <c r="H74" s="366" t="s">
        <v>14</v>
      </c>
      <c r="I74" s="32">
        <v>15891</v>
      </c>
    </row>
    <row r="75" spans="2:9" ht="20.100000000000001" customHeight="1">
      <c r="B75" s="363" t="s">
        <v>606</v>
      </c>
      <c r="C75" s="661" t="s">
        <v>14</v>
      </c>
      <c r="D75" s="366">
        <v>1066</v>
      </c>
      <c r="E75" s="366">
        <v>215</v>
      </c>
      <c r="F75" s="366">
        <v>12834</v>
      </c>
      <c r="G75" s="366">
        <v>1304</v>
      </c>
      <c r="H75" s="366" t="s">
        <v>14</v>
      </c>
      <c r="I75" s="32">
        <v>15419</v>
      </c>
    </row>
    <row r="76" spans="2:9" ht="19.5" customHeight="1">
      <c r="B76" s="363" t="s">
        <v>605</v>
      </c>
      <c r="C76" s="661" t="s">
        <v>14</v>
      </c>
      <c r="D76" s="366">
        <v>5413</v>
      </c>
      <c r="E76" s="366">
        <v>361</v>
      </c>
      <c r="F76" s="366">
        <v>11591</v>
      </c>
      <c r="G76" s="366">
        <v>1728</v>
      </c>
      <c r="H76" s="366" t="s">
        <v>14</v>
      </c>
      <c r="I76" s="32">
        <v>19093</v>
      </c>
    </row>
    <row r="77" spans="2:9" ht="19.5" customHeight="1">
      <c r="B77" s="363" t="s">
        <v>604</v>
      </c>
      <c r="C77" s="661" t="s">
        <v>14</v>
      </c>
      <c r="D77" s="366">
        <v>2024</v>
      </c>
      <c r="E77" s="366">
        <v>-103</v>
      </c>
      <c r="F77" s="366">
        <v>6952</v>
      </c>
      <c r="G77" s="366">
        <v>1628</v>
      </c>
      <c r="H77" s="366" t="s">
        <v>14</v>
      </c>
      <c r="I77" s="32">
        <v>10501</v>
      </c>
    </row>
    <row r="78" spans="2:9" ht="19.5" customHeight="1">
      <c r="B78" s="363" t="s">
        <v>603</v>
      </c>
      <c r="C78" s="661" t="s">
        <v>14</v>
      </c>
      <c r="D78" s="366">
        <v>5061</v>
      </c>
      <c r="E78" s="366">
        <v>-183</v>
      </c>
      <c r="F78" s="366">
        <v>3330</v>
      </c>
      <c r="G78" s="366">
        <v>1709</v>
      </c>
      <c r="H78" s="366" t="s">
        <v>14</v>
      </c>
      <c r="I78" s="32">
        <v>9917</v>
      </c>
    </row>
    <row r="79" spans="2:9" ht="20.100000000000001" customHeight="1">
      <c r="B79" s="744" t="s">
        <v>602</v>
      </c>
      <c r="C79" s="667"/>
      <c r="D79" s="668"/>
      <c r="E79" s="666"/>
      <c r="F79" s="666"/>
      <c r="G79" s="666"/>
      <c r="H79" s="666"/>
      <c r="I79" s="666"/>
    </row>
    <row r="80" spans="2:9" ht="20.100000000000001" customHeight="1">
      <c r="B80" s="363" t="s">
        <v>601</v>
      </c>
      <c r="C80" s="661" t="s">
        <v>14</v>
      </c>
      <c r="D80" s="589">
        <v>30769</v>
      </c>
      <c r="E80" s="589">
        <v>365</v>
      </c>
      <c r="F80" s="589">
        <v>39518</v>
      </c>
      <c r="G80" s="589">
        <v>6719</v>
      </c>
      <c r="H80" s="776" t="s">
        <v>14</v>
      </c>
      <c r="I80" s="32">
        <v>77371</v>
      </c>
    </row>
    <row r="81" spans="2:9" ht="20.100000000000001" customHeight="1">
      <c r="B81" s="363" t="s">
        <v>600</v>
      </c>
      <c r="C81" s="661" t="s">
        <v>14</v>
      </c>
      <c r="D81" s="366">
        <v>-7647</v>
      </c>
      <c r="E81" s="366">
        <v>-46</v>
      </c>
      <c r="F81" s="366">
        <v>-17654</v>
      </c>
      <c r="G81" s="366">
        <v>-3209</v>
      </c>
      <c r="H81" s="661" t="s">
        <v>14</v>
      </c>
      <c r="I81" s="32">
        <v>-28556</v>
      </c>
    </row>
    <row r="82" spans="2:9" ht="20.25" customHeight="1">
      <c r="B82" s="363" t="s">
        <v>599</v>
      </c>
      <c r="C82" s="661" t="s">
        <v>14</v>
      </c>
      <c r="D82" s="366">
        <v>-1267</v>
      </c>
      <c r="E82" s="366">
        <v>-1</v>
      </c>
      <c r="F82" s="366">
        <v>-3066</v>
      </c>
      <c r="G82" s="366">
        <v>-299</v>
      </c>
      <c r="H82" s="661" t="s">
        <v>14</v>
      </c>
      <c r="I82" s="663">
        <v>-4633</v>
      </c>
    </row>
    <row r="83" spans="2:9" ht="20.100000000000001" customHeight="1">
      <c r="B83" s="341" t="s">
        <v>598</v>
      </c>
      <c r="C83" s="661" t="s">
        <v>14</v>
      </c>
      <c r="D83" s="366">
        <v>-2097</v>
      </c>
      <c r="E83" s="366">
        <v>-17</v>
      </c>
      <c r="F83" s="366">
        <v>-7459</v>
      </c>
      <c r="G83" s="366" t="s">
        <v>14</v>
      </c>
      <c r="H83" s="797" t="s">
        <v>14</v>
      </c>
      <c r="I83" s="663">
        <v>-9573</v>
      </c>
    </row>
    <row r="84" spans="2:9" ht="20.100000000000001" customHeight="1">
      <c r="B84" s="431" t="s">
        <v>597</v>
      </c>
      <c r="C84" s="672" t="s">
        <v>14</v>
      </c>
      <c r="D84" s="677">
        <v>19758</v>
      </c>
      <c r="E84" s="677">
        <v>301</v>
      </c>
      <c r="F84" s="677">
        <v>11338</v>
      </c>
      <c r="G84" s="677">
        <v>3211</v>
      </c>
      <c r="H84" s="672" t="s">
        <v>14</v>
      </c>
      <c r="I84" s="671">
        <v>34608</v>
      </c>
    </row>
    <row r="85" spans="2:9" ht="20.100000000000001" customHeight="1">
      <c r="B85" s="363" t="s">
        <v>596</v>
      </c>
      <c r="C85" s="661" t="s">
        <v>14</v>
      </c>
      <c r="D85" s="366">
        <v>-12050</v>
      </c>
      <c r="E85" s="366">
        <v>-166</v>
      </c>
      <c r="F85" s="366">
        <v>-5901</v>
      </c>
      <c r="G85" s="366">
        <v>-1549</v>
      </c>
      <c r="H85" s="661" t="s">
        <v>14</v>
      </c>
      <c r="I85" s="342">
        <v>-19666</v>
      </c>
    </row>
    <row r="86" spans="2:9" ht="30.75" customHeight="1">
      <c r="B86" s="796" t="s">
        <v>595</v>
      </c>
      <c r="C86" s="794" t="s">
        <v>14</v>
      </c>
      <c r="D86" s="795">
        <v>7708</v>
      </c>
      <c r="E86" s="795">
        <v>135</v>
      </c>
      <c r="F86" s="795">
        <v>5437</v>
      </c>
      <c r="G86" s="795">
        <v>1662</v>
      </c>
      <c r="H86" s="794" t="s">
        <v>14</v>
      </c>
      <c r="I86" s="793">
        <v>14942</v>
      </c>
    </row>
  </sheetData>
  <mergeCells count="5">
    <mergeCell ref="B2:E2"/>
    <mergeCell ref="B10:K10"/>
    <mergeCell ref="B11:K11"/>
    <mergeCell ref="C13:I13"/>
    <mergeCell ref="C72:I72"/>
  </mergeCells>
  <pageMargins left="0.74803149606299213" right="0.74803149606299213" top="0.98425196850393704" bottom="0.98425196850393704" header="0.51181102362204722" footer="0.51181102362204722"/>
  <pageSetup paperSize="9" scale="39" orientation="portrait" horizontalDpi="4294967292" verticalDpi="4294967292"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49">
    <tabColor rgb="FF733E8D"/>
  </sheetPr>
  <dimension ref="B2:L32"/>
  <sheetViews>
    <sheetView showGridLines="0" view="pageBreakPreview" zoomScaleNormal="140" zoomScaleSheetLayoutView="100" zoomScalePageLayoutView="140" workbookViewId="0">
      <selection activeCell="B15" sqref="B15"/>
    </sheetView>
  </sheetViews>
  <sheetFormatPr defaultColWidth="10.875" defaultRowHeight="20.100000000000001" customHeight="1"/>
  <cols>
    <col min="1" max="1" width="5.5" style="468" customWidth="1"/>
    <col min="2" max="2" width="59.125" style="468" customWidth="1"/>
    <col min="3" max="5" width="10.875" style="468" customWidth="1"/>
    <col min="6" max="16384" width="10.875" style="468"/>
  </cols>
  <sheetData>
    <row r="2" spans="2:12" ht="20.100000000000001" customHeight="1">
      <c r="B2" s="1156" t="str">
        <f>UPPER("Changes in the standardized measure of discounted 
future net cash flows")</f>
        <v>CHANGES IN THE STANDARDIZED MEASURE OF DISCOUNTED 
FUTURE NET CASH FLOWS</v>
      </c>
      <c r="C2" s="1156"/>
      <c r="D2" s="1156"/>
      <c r="E2" s="1156"/>
      <c r="F2" s="1156"/>
      <c r="G2" s="1156"/>
      <c r="H2" s="1156"/>
      <c r="I2" s="1156"/>
      <c r="J2" s="1156"/>
      <c r="K2" s="1156"/>
      <c r="L2" s="1156"/>
    </row>
    <row r="4" spans="2:12" ht="20.100000000000001" customHeight="1">
      <c r="B4" s="814" t="s">
        <v>470</v>
      </c>
      <c r="C4" s="221">
        <v>2017</v>
      </c>
      <c r="D4" s="221">
        <v>2016</v>
      </c>
      <c r="E4" s="221">
        <v>2015</v>
      </c>
      <c r="F4" s="221">
        <v>2014</v>
      </c>
      <c r="G4" s="221">
        <v>2013</v>
      </c>
      <c r="H4" s="221">
        <v>2012</v>
      </c>
      <c r="I4" s="818">
        <v>2011</v>
      </c>
      <c r="J4" s="818">
        <v>2010</v>
      </c>
    </row>
    <row r="5" spans="2:12" ht="20.100000000000001" customHeight="1">
      <c r="B5" s="220" t="s">
        <v>13</v>
      </c>
      <c r="C5" s="220"/>
      <c r="D5" s="220"/>
      <c r="E5" s="220"/>
      <c r="F5" s="461"/>
      <c r="G5" s="461"/>
      <c r="H5" s="461"/>
      <c r="I5" s="461"/>
      <c r="J5" s="461"/>
    </row>
    <row r="6" spans="2:12" ht="20.100000000000001" customHeight="1">
      <c r="B6" s="813" t="s">
        <v>629</v>
      </c>
      <c r="C6" s="812">
        <v>19501.790340210933</v>
      </c>
      <c r="D6" s="817">
        <v>24011</v>
      </c>
      <c r="E6" s="817">
        <v>60774</v>
      </c>
      <c r="F6" s="817">
        <v>63274</v>
      </c>
      <c r="G6" s="817">
        <v>67152</v>
      </c>
      <c r="H6" s="817">
        <v>66440</v>
      </c>
      <c r="I6" s="816">
        <v>47955</v>
      </c>
      <c r="J6" s="816">
        <v>35924</v>
      </c>
    </row>
    <row r="7" spans="2:12" ht="20.100000000000001" customHeight="1">
      <c r="B7" s="363" t="s">
        <v>628</v>
      </c>
      <c r="C7" s="376">
        <v>-16822.172915509655</v>
      </c>
      <c r="D7" s="351">
        <v>-12015</v>
      </c>
      <c r="E7" s="351">
        <v>-14209</v>
      </c>
      <c r="F7" s="351">
        <v>-26647</v>
      </c>
      <c r="G7" s="351">
        <v>-32860</v>
      </c>
      <c r="H7" s="358">
        <v>-36685</v>
      </c>
      <c r="I7" s="366">
        <v>-37617</v>
      </c>
      <c r="J7" s="366">
        <v>-29561</v>
      </c>
    </row>
    <row r="8" spans="2:12" ht="20.100000000000001" customHeight="1">
      <c r="B8" s="363" t="s">
        <v>627</v>
      </c>
      <c r="C8" s="376">
        <v>26699.420304358391</v>
      </c>
      <c r="D8" s="351">
        <v>-21189</v>
      </c>
      <c r="E8" s="351">
        <v>-88615</v>
      </c>
      <c r="F8" s="351">
        <v>-16703</v>
      </c>
      <c r="G8" s="351">
        <v>-8007</v>
      </c>
      <c r="H8" s="358">
        <v>3532</v>
      </c>
      <c r="I8" s="366">
        <v>64638</v>
      </c>
      <c r="J8" s="366">
        <v>38589</v>
      </c>
    </row>
    <row r="9" spans="2:12" ht="20.100000000000001" customHeight="1">
      <c r="B9" s="363" t="s">
        <v>626</v>
      </c>
      <c r="C9" s="376">
        <v>3243.7856764428489</v>
      </c>
      <c r="D9" s="351">
        <v>156</v>
      </c>
      <c r="E9" s="351">
        <v>933</v>
      </c>
      <c r="F9" s="351">
        <v>1912</v>
      </c>
      <c r="G9" s="351">
        <v>1106</v>
      </c>
      <c r="H9" s="358">
        <v>1749</v>
      </c>
      <c r="I9" s="366">
        <v>2354</v>
      </c>
      <c r="J9" s="366">
        <v>953</v>
      </c>
    </row>
    <row r="10" spans="2:12" ht="20.100000000000001" customHeight="1">
      <c r="B10" s="363" t="s">
        <v>625</v>
      </c>
      <c r="C10" s="376">
        <v>-323.69733450513297</v>
      </c>
      <c r="D10" s="351">
        <v>400</v>
      </c>
      <c r="E10" s="351">
        <v>4412</v>
      </c>
      <c r="F10" s="351">
        <v>-5407</v>
      </c>
      <c r="G10" s="351">
        <v>-10803</v>
      </c>
      <c r="H10" s="358">
        <v>-8381</v>
      </c>
      <c r="I10" s="366">
        <v>-6724</v>
      </c>
      <c r="J10" s="366">
        <v>-9642</v>
      </c>
    </row>
    <row r="11" spans="2:12" ht="20.100000000000001" customHeight="1">
      <c r="B11" s="363" t="s">
        <v>624</v>
      </c>
      <c r="C11" s="376">
        <v>8951.6104924786159</v>
      </c>
      <c r="D11" s="351">
        <v>13967</v>
      </c>
      <c r="E11" s="351">
        <v>19694</v>
      </c>
      <c r="F11" s="351">
        <v>21484</v>
      </c>
      <c r="G11" s="351">
        <v>18218</v>
      </c>
      <c r="H11" s="358">
        <v>15220</v>
      </c>
      <c r="I11" s="366">
        <v>13338</v>
      </c>
      <c r="J11" s="366">
        <v>10509</v>
      </c>
    </row>
    <row r="12" spans="2:12" ht="20.100000000000001" customHeight="1">
      <c r="B12" s="363" t="s">
        <v>623</v>
      </c>
      <c r="C12" s="376">
        <v>2427.4781953144156</v>
      </c>
      <c r="D12" s="351">
        <v>5347</v>
      </c>
      <c r="E12" s="351">
        <v>-4800</v>
      </c>
      <c r="F12" s="351">
        <v>-1505</v>
      </c>
      <c r="G12" s="351">
        <v>1511</v>
      </c>
      <c r="H12" s="358">
        <v>3504</v>
      </c>
      <c r="I12" s="366">
        <v>1805</v>
      </c>
      <c r="J12" s="366">
        <v>7350</v>
      </c>
    </row>
    <row r="13" spans="2:12" ht="20.100000000000001" customHeight="1">
      <c r="B13" s="363" t="s">
        <v>622</v>
      </c>
      <c r="C13" s="376">
        <v>1950.1790340210935</v>
      </c>
      <c r="D13" s="351">
        <v>2401</v>
      </c>
      <c r="E13" s="351">
        <v>6077</v>
      </c>
      <c r="F13" s="351">
        <v>6327</v>
      </c>
      <c r="G13" s="351">
        <v>6715</v>
      </c>
      <c r="H13" s="358">
        <v>6644</v>
      </c>
      <c r="I13" s="366">
        <v>4795</v>
      </c>
      <c r="J13" s="366">
        <v>3592</v>
      </c>
    </row>
    <row r="14" spans="2:12" ht="20.100000000000001" customHeight="1">
      <c r="B14" s="363" t="s">
        <v>621</v>
      </c>
      <c r="C14" s="376">
        <v>-8155.1901989034131</v>
      </c>
      <c r="D14" s="351">
        <v>6304</v>
      </c>
      <c r="E14" s="351">
        <v>42252</v>
      </c>
      <c r="F14" s="351">
        <v>20116</v>
      </c>
      <c r="G14" s="351">
        <v>20178</v>
      </c>
      <c r="H14" s="358">
        <v>18034</v>
      </c>
      <c r="I14" s="366">
        <v>-23717</v>
      </c>
      <c r="J14" s="366">
        <v>-9014</v>
      </c>
    </row>
    <row r="15" spans="2:12" ht="20.100000000000001" customHeight="1">
      <c r="B15" s="363" t="s">
        <v>620</v>
      </c>
      <c r="C15" s="376">
        <v>98.186025186502135</v>
      </c>
      <c r="D15" s="351">
        <v>364</v>
      </c>
      <c r="E15" s="351" t="s">
        <v>14</v>
      </c>
      <c r="F15" s="351">
        <v>26</v>
      </c>
      <c r="G15" s="351">
        <v>1459</v>
      </c>
      <c r="H15" s="358">
        <v>385</v>
      </c>
      <c r="I15" s="366">
        <v>1240</v>
      </c>
      <c r="J15" s="366">
        <v>588</v>
      </c>
    </row>
    <row r="16" spans="2:12" ht="20.100000000000001" customHeight="1">
      <c r="B16" s="365" t="s">
        <v>487</v>
      </c>
      <c r="C16" s="377">
        <v>-474.34201774789045</v>
      </c>
      <c r="D16" s="126">
        <v>-244</v>
      </c>
      <c r="E16" s="126">
        <v>-2507</v>
      </c>
      <c r="F16" s="126">
        <v>-2103</v>
      </c>
      <c r="G16" s="126">
        <v>-1395</v>
      </c>
      <c r="H16" s="359">
        <v>-3290</v>
      </c>
      <c r="I16" s="367">
        <v>-1627</v>
      </c>
      <c r="J16" s="367">
        <v>-1333</v>
      </c>
    </row>
    <row r="17" spans="2:10" ht="20.100000000000001" customHeight="1">
      <c r="B17" s="742" t="s">
        <v>619</v>
      </c>
      <c r="C17" s="586">
        <v>37097.151465974035</v>
      </c>
      <c r="D17" s="586">
        <v>19502</v>
      </c>
      <c r="E17" s="586">
        <v>24011</v>
      </c>
      <c r="F17" s="586">
        <v>60774</v>
      </c>
      <c r="G17" s="586">
        <v>63274</v>
      </c>
      <c r="H17" s="586">
        <v>67152</v>
      </c>
      <c r="I17" s="585">
        <v>66440</v>
      </c>
      <c r="J17" s="585">
        <v>47955</v>
      </c>
    </row>
    <row r="18" spans="2:10" ht="20.100000000000001" customHeight="1">
      <c r="D18" s="815"/>
      <c r="E18" s="815"/>
      <c r="F18" s="815"/>
      <c r="G18" s="430"/>
      <c r="I18" s="52"/>
      <c r="J18" s="52"/>
    </row>
    <row r="19" spans="2:10" ht="20.100000000000001" customHeight="1">
      <c r="B19" s="814" t="s">
        <v>469</v>
      </c>
      <c r="C19" s="221">
        <v>2017</v>
      </c>
      <c r="D19" s="221">
        <v>2016</v>
      </c>
      <c r="E19" s="221">
        <v>2015</v>
      </c>
      <c r="F19" s="221">
        <v>2014</v>
      </c>
      <c r="G19" s="221">
        <v>2013</v>
      </c>
      <c r="H19" s="221">
        <v>2012</v>
      </c>
      <c r="I19" s="221">
        <v>2011</v>
      </c>
      <c r="J19" s="221">
        <v>2010</v>
      </c>
    </row>
    <row r="20" spans="2:10" ht="20.100000000000001" customHeight="1">
      <c r="B20" s="220" t="s">
        <v>13</v>
      </c>
      <c r="C20" s="220"/>
      <c r="D20" s="220"/>
      <c r="E20" s="220"/>
      <c r="F20" s="667"/>
      <c r="G20" s="667"/>
      <c r="H20" s="667"/>
      <c r="I20" s="667"/>
      <c r="J20" s="667"/>
    </row>
    <row r="21" spans="2:10" ht="20.100000000000001" customHeight="1">
      <c r="B21" s="813" t="s">
        <v>629</v>
      </c>
      <c r="C21" s="812">
        <v>9917</v>
      </c>
      <c r="D21" s="811">
        <v>10501</v>
      </c>
      <c r="E21" s="811">
        <v>19093</v>
      </c>
      <c r="F21" s="811">
        <v>15419</v>
      </c>
      <c r="G21" s="811">
        <v>15891</v>
      </c>
      <c r="H21" s="811">
        <v>15737</v>
      </c>
      <c r="I21" s="811">
        <v>12289</v>
      </c>
      <c r="J21" s="811">
        <v>10157</v>
      </c>
    </row>
    <row r="22" spans="2:10" ht="20.100000000000001" customHeight="1">
      <c r="B22" s="363" t="s">
        <v>628</v>
      </c>
      <c r="C22" s="376">
        <v>-2150.5430276655879</v>
      </c>
      <c r="D22" s="351">
        <v>-1745</v>
      </c>
      <c r="E22" s="351">
        <v>-1860</v>
      </c>
      <c r="F22" s="351">
        <v>-3639</v>
      </c>
      <c r="G22" s="351">
        <v>-3723</v>
      </c>
      <c r="H22" s="358">
        <v>-3074</v>
      </c>
      <c r="I22" s="358">
        <v>-2772</v>
      </c>
      <c r="J22" s="358">
        <v>-2064</v>
      </c>
    </row>
    <row r="23" spans="2:10" ht="20.100000000000001" customHeight="1">
      <c r="B23" s="363" t="s">
        <v>627</v>
      </c>
      <c r="C23" s="376">
        <v>7074.5430276655879</v>
      </c>
      <c r="D23" s="351">
        <v>-3840</v>
      </c>
      <c r="E23" s="351">
        <v>-14821</v>
      </c>
      <c r="F23" s="351">
        <v>-1546</v>
      </c>
      <c r="G23" s="351">
        <v>-1056</v>
      </c>
      <c r="H23" s="358">
        <v>-1702</v>
      </c>
      <c r="I23" s="358">
        <v>5901</v>
      </c>
      <c r="J23" s="358">
        <v>2612</v>
      </c>
    </row>
    <row r="24" spans="2:10" ht="20.100000000000001" customHeight="1">
      <c r="B24" s="363" t="s">
        <v>626</v>
      </c>
      <c r="C24" s="376">
        <v>57</v>
      </c>
      <c r="D24" s="810">
        <v>1204</v>
      </c>
      <c r="E24" s="810" t="s">
        <v>14</v>
      </c>
      <c r="F24" s="351">
        <v>4444</v>
      </c>
      <c r="G24" s="351">
        <v>4980</v>
      </c>
      <c r="H24" s="358">
        <v>-32</v>
      </c>
      <c r="I24" s="358" t="s">
        <v>14</v>
      </c>
      <c r="J24" s="358" t="s">
        <v>14</v>
      </c>
    </row>
    <row r="25" spans="2:10" ht="20.100000000000001" customHeight="1">
      <c r="B25" s="363" t="s">
        <v>625</v>
      </c>
      <c r="C25" s="376">
        <v>-1171</v>
      </c>
      <c r="D25" s="351">
        <v>83</v>
      </c>
      <c r="E25" s="351">
        <v>1572</v>
      </c>
      <c r="F25" s="351">
        <v>190</v>
      </c>
      <c r="G25" s="351">
        <v>540</v>
      </c>
      <c r="H25" s="358">
        <v>-638</v>
      </c>
      <c r="I25" s="358">
        <v>-536</v>
      </c>
      <c r="J25" s="358">
        <v>260</v>
      </c>
    </row>
    <row r="26" spans="2:10" ht="20.100000000000001" customHeight="1">
      <c r="B26" s="363" t="s">
        <v>624</v>
      </c>
      <c r="C26" s="376">
        <v>789</v>
      </c>
      <c r="D26" s="351">
        <v>971</v>
      </c>
      <c r="E26" s="351">
        <v>1272</v>
      </c>
      <c r="F26" s="351">
        <v>1330</v>
      </c>
      <c r="G26" s="351">
        <v>1101</v>
      </c>
      <c r="H26" s="358">
        <v>1042</v>
      </c>
      <c r="I26" s="358">
        <v>890</v>
      </c>
      <c r="J26" s="358">
        <v>866</v>
      </c>
    </row>
    <row r="27" spans="2:10" ht="20.100000000000001" customHeight="1">
      <c r="B27" s="363" t="s">
        <v>623</v>
      </c>
      <c r="C27" s="376">
        <v>783</v>
      </c>
      <c r="D27" s="351">
        <v>214</v>
      </c>
      <c r="E27" s="351">
        <v>315</v>
      </c>
      <c r="F27" s="351">
        <v>19</v>
      </c>
      <c r="G27" s="351">
        <v>-5020</v>
      </c>
      <c r="H27" s="358">
        <v>1268</v>
      </c>
      <c r="I27" s="358">
        <v>-1050</v>
      </c>
      <c r="J27" s="358">
        <v>411</v>
      </c>
    </row>
    <row r="28" spans="2:10" ht="20.100000000000001" customHeight="1">
      <c r="B28" s="363" t="s">
        <v>622</v>
      </c>
      <c r="C28" s="376">
        <v>992</v>
      </c>
      <c r="D28" s="351">
        <v>1050</v>
      </c>
      <c r="E28" s="351">
        <v>1909</v>
      </c>
      <c r="F28" s="351">
        <v>1542</v>
      </c>
      <c r="G28" s="351">
        <v>1589</v>
      </c>
      <c r="H28" s="358">
        <v>1574</v>
      </c>
      <c r="I28" s="358">
        <v>1229</v>
      </c>
      <c r="J28" s="358">
        <v>1016</v>
      </c>
    </row>
    <row r="29" spans="2:10" ht="20.100000000000001" customHeight="1">
      <c r="B29" s="363" t="s">
        <v>621</v>
      </c>
      <c r="C29" s="376">
        <v>-1420</v>
      </c>
      <c r="D29" s="351">
        <v>-340</v>
      </c>
      <c r="E29" s="351">
        <v>2901</v>
      </c>
      <c r="F29" s="351">
        <v>834</v>
      </c>
      <c r="G29" s="351">
        <v>1107</v>
      </c>
      <c r="H29" s="358">
        <v>1693</v>
      </c>
      <c r="I29" s="358">
        <v>-1879</v>
      </c>
      <c r="J29" s="358">
        <v>-969</v>
      </c>
    </row>
    <row r="30" spans="2:10" ht="20.100000000000001" customHeight="1">
      <c r="B30" s="363" t="s">
        <v>620</v>
      </c>
      <c r="C30" s="376">
        <v>71</v>
      </c>
      <c r="D30" s="351">
        <v>1929</v>
      </c>
      <c r="E30" s="351">
        <v>186</v>
      </c>
      <c r="F30" s="351">
        <v>543</v>
      </c>
      <c r="G30" s="351">
        <v>520</v>
      </c>
      <c r="H30" s="358">
        <v>23</v>
      </c>
      <c r="I30" s="358">
        <v>2539</v>
      </c>
      <c r="J30" s="358" t="s">
        <v>14</v>
      </c>
    </row>
    <row r="31" spans="2:10" ht="20.100000000000001" customHeight="1">
      <c r="B31" s="365" t="s">
        <v>487</v>
      </c>
      <c r="C31" s="377" t="s">
        <v>14</v>
      </c>
      <c r="D31" s="126">
        <v>-110</v>
      </c>
      <c r="E31" s="126">
        <v>-66</v>
      </c>
      <c r="F31" s="126">
        <v>-43</v>
      </c>
      <c r="G31" s="126">
        <v>-510</v>
      </c>
      <c r="H31" s="359" t="s">
        <v>14</v>
      </c>
      <c r="I31" s="359">
        <v>-874</v>
      </c>
      <c r="J31" s="359" t="s">
        <v>14</v>
      </c>
    </row>
    <row r="32" spans="2:10" ht="20.100000000000001" customHeight="1">
      <c r="B32" s="742" t="s">
        <v>619</v>
      </c>
      <c r="C32" s="586">
        <v>14942</v>
      </c>
      <c r="D32" s="586">
        <v>9917</v>
      </c>
      <c r="E32" s="586">
        <v>10501</v>
      </c>
      <c r="F32" s="586">
        <v>19093</v>
      </c>
      <c r="G32" s="586">
        <v>15419</v>
      </c>
      <c r="H32" s="586">
        <v>15891</v>
      </c>
      <c r="I32" s="586">
        <v>15737</v>
      </c>
      <c r="J32" s="586">
        <v>12289</v>
      </c>
    </row>
  </sheetData>
  <mergeCells count="1">
    <mergeCell ref="B2:L2"/>
  </mergeCells>
  <pageMargins left="0.75" right="0.75" top="1" bottom="1" header="0.5" footer="0.5"/>
  <pageSetup paperSize="9" scale="52" orientation="portrait" horizontalDpi="4294967292" verticalDpi="4294967292"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5">
    <tabColor rgb="FF0076BD"/>
    <pageSetUpPr fitToPage="1"/>
  </sheetPr>
  <dimension ref="B2:N37"/>
  <sheetViews>
    <sheetView showGridLines="0" view="pageBreakPreview" topLeftCell="A3" zoomScaleNormal="85" zoomScaleSheetLayoutView="100" zoomScalePageLayoutView="85" workbookViewId="0">
      <selection activeCell="B17" sqref="B17:M17"/>
    </sheetView>
  </sheetViews>
  <sheetFormatPr defaultColWidth="11" defaultRowHeight="20.100000000000001" customHeight="1"/>
  <cols>
    <col min="1" max="1" width="5.5" style="451" customWidth="1"/>
    <col min="2" max="2" width="53.125" style="451" customWidth="1"/>
    <col min="3" max="7" width="10.5" style="451" customWidth="1"/>
    <col min="8" max="8" width="4" style="451" customWidth="1"/>
    <col min="9" max="13" width="10.5" style="451" customWidth="1"/>
    <col min="14" max="14" width="2.625" style="451" customWidth="1"/>
    <col min="15" max="16384" width="11" style="451"/>
  </cols>
  <sheetData>
    <row r="2" spans="2:14" ht="20.100000000000001" customHeight="1">
      <c r="B2" s="1156" t="str">
        <f>UPPER("Operational highlights by quarter")</f>
        <v>OPERATIONAL HIGHLIGHTS BY QUARTER</v>
      </c>
      <c r="C2" s="1156"/>
      <c r="D2" s="1156"/>
      <c r="E2" s="1156"/>
      <c r="F2" s="1156"/>
      <c r="G2" s="1156"/>
      <c r="H2" s="1156"/>
      <c r="I2" s="1156"/>
      <c r="J2" s="1156"/>
      <c r="K2" s="1156"/>
      <c r="L2" s="1156"/>
      <c r="M2" s="1156"/>
    </row>
    <row r="3" spans="2:14" ht="20.100000000000001" customHeight="1">
      <c r="B3" s="449"/>
    </row>
    <row r="4" spans="2:14" ht="20.100000000000001" customHeight="1">
      <c r="B4" s="127" t="s">
        <v>13</v>
      </c>
      <c r="C4" s="128">
        <v>2017</v>
      </c>
      <c r="D4" s="1163" t="s">
        <v>5</v>
      </c>
      <c r="E4" s="1163"/>
      <c r="F4" s="1163"/>
      <c r="G4" s="1163"/>
      <c r="H4" s="4"/>
      <c r="I4" s="128">
        <v>2016</v>
      </c>
      <c r="J4" s="1163" t="s">
        <v>5</v>
      </c>
      <c r="K4" s="1163"/>
      <c r="L4" s="1163"/>
      <c r="M4" s="1163"/>
      <c r="N4" s="4"/>
    </row>
    <row r="5" spans="2:14" ht="20.100000000000001" customHeight="1">
      <c r="B5" s="5"/>
      <c r="C5" s="5" t="s">
        <v>6</v>
      </c>
      <c r="D5" s="5" t="s">
        <v>7</v>
      </c>
      <c r="E5" s="5" t="s">
        <v>8</v>
      </c>
      <c r="F5" s="5" t="s">
        <v>9</v>
      </c>
      <c r="G5" s="5" t="s">
        <v>10</v>
      </c>
      <c r="H5" s="4"/>
      <c r="I5" s="5" t="s">
        <v>6</v>
      </c>
      <c r="J5" s="5" t="s">
        <v>7</v>
      </c>
      <c r="K5" s="5" t="s">
        <v>8</v>
      </c>
      <c r="L5" s="5" t="s">
        <v>9</v>
      </c>
      <c r="M5" s="5" t="s">
        <v>10</v>
      </c>
      <c r="N5" s="4"/>
    </row>
    <row r="6" spans="2:14" ht="20.100000000000001" customHeight="1">
      <c r="B6" s="129" t="s">
        <v>264</v>
      </c>
      <c r="C6" s="130">
        <v>13539</v>
      </c>
      <c r="D6" s="130">
        <v>3266</v>
      </c>
      <c r="E6" s="130">
        <v>2897</v>
      </c>
      <c r="F6" s="130">
        <v>3437</v>
      </c>
      <c r="G6" s="131">
        <v>3939</v>
      </c>
      <c r="I6" s="490">
        <v>8929</v>
      </c>
      <c r="J6" s="490">
        <v>1771</v>
      </c>
      <c r="K6" s="490">
        <v>1978</v>
      </c>
      <c r="L6" s="490">
        <v>2235</v>
      </c>
      <c r="M6" s="490">
        <v>2945</v>
      </c>
      <c r="N6" s="6"/>
    </row>
    <row r="7" spans="2:14" ht="20.100000000000001" customHeight="1">
      <c r="B7" s="489" t="s">
        <v>318</v>
      </c>
      <c r="C7" s="132">
        <v>7219</v>
      </c>
      <c r="D7" s="132">
        <v>1750</v>
      </c>
      <c r="E7" s="132">
        <v>1427</v>
      </c>
      <c r="F7" s="132">
        <v>1665</v>
      </c>
      <c r="G7" s="133">
        <v>2377</v>
      </c>
      <c r="I7" s="488">
        <v>2349</v>
      </c>
      <c r="J7" s="488">
        <v>47</v>
      </c>
      <c r="K7" s="488">
        <v>499</v>
      </c>
      <c r="L7" s="488">
        <v>714</v>
      </c>
      <c r="M7" s="488">
        <v>1089</v>
      </c>
      <c r="N7" s="460"/>
    </row>
    <row r="8" spans="2:14" ht="20.100000000000001" customHeight="1">
      <c r="B8" s="489" t="s">
        <v>317</v>
      </c>
      <c r="C8" s="132">
        <v>424</v>
      </c>
      <c r="D8" s="155">
        <v>80</v>
      </c>
      <c r="E8" s="155">
        <v>99</v>
      </c>
      <c r="F8" s="155">
        <v>67</v>
      </c>
      <c r="G8" s="156">
        <v>178</v>
      </c>
      <c r="I8" s="488">
        <v>288</v>
      </c>
      <c r="J8" s="488">
        <v>35</v>
      </c>
      <c r="K8" s="488">
        <v>2</v>
      </c>
      <c r="L8" s="488">
        <v>124</v>
      </c>
      <c r="M8" s="488">
        <v>127</v>
      </c>
      <c r="N8" s="460"/>
    </row>
    <row r="9" spans="2:14" ht="20.100000000000001" customHeight="1">
      <c r="B9" s="489" t="s">
        <v>11</v>
      </c>
      <c r="C9" s="132">
        <v>4056</v>
      </c>
      <c r="D9" s="132">
        <v>1047</v>
      </c>
      <c r="E9" s="132">
        <v>931</v>
      </c>
      <c r="F9" s="132">
        <v>1182</v>
      </c>
      <c r="G9" s="133">
        <v>896</v>
      </c>
      <c r="I9" s="488">
        <v>4366</v>
      </c>
      <c r="J9" s="488">
        <v>1297</v>
      </c>
      <c r="K9" s="488">
        <v>965</v>
      </c>
      <c r="L9" s="488">
        <v>890</v>
      </c>
      <c r="M9" s="488">
        <v>1214</v>
      </c>
      <c r="N9" s="460"/>
    </row>
    <row r="10" spans="2:14" ht="20.100000000000001" customHeight="1">
      <c r="B10" s="489" t="s">
        <v>12</v>
      </c>
      <c r="C10" s="132">
        <v>1840</v>
      </c>
      <c r="D10" s="155">
        <v>389</v>
      </c>
      <c r="E10" s="155">
        <v>440</v>
      </c>
      <c r="F10" s="155">
        <v>523</v>
      </c>
      <c r="G10" s="156">
        <v>488</v>
      </c>
      <c r="I10" s="488">
        <v>1926</v>
      </c>
      <c r="J10" s="488">
        <v>392</v>
      </c>
      <c r="K10" s="488">
        <v>512</v>
      </c>
      <c r="L10" s="488">
        <v>507</v>
      </c>
      <c r="M10" s="488">
        <v>515</v>
      </c>
      <c r="N10" s="460"/>
    </row>
    <row r="11" spans="2:14" ht="20.100000000000001" customHeight="1">
      <c r="B11" s="491" t="s">
        <v>255</v>
      </c>
      <c r="C11" s="130">
        <v>11936</v>
      </c>
      <c r="D11" s="130">
        <v>2767</v>
      </c>
      <c r="E11" s="130">
        <v>2748</v>
      </c>
      <c r="F11" s="130">
        <v>3062</v>
      </c>
      <c r="G11" s="131">
        <v>3359</v>
      </c>
      <c r="I11" s="490">
        <v>9410</v>
      </c>
      <c r="J11" s="490">
        <v>1878</v>
      </c>
      <c r="K11" s="490">
        <v>2524</v>
      </c>
      <c r="L11" s="490">
        <v>2332</v>
      </c>
      <c r="M11" s="490">
        <v>2676</v>
      </c>
      <c r="N11" s="6"/>
    </row>
    <row r="12" spans="2:14" ht="20.100000000000001" customHeight="1">
      <c r="B12" s="489" t="s">
        <v>318</v>
      </c>
      <c r="C12" s="132">
        <v>5985</v>
      </c>
      <c r="D12" s="132">
        <v>1382</v>
      </c>
      <c r="E12" s="132">
        <v>1359</v>
      </c>
      <c r="F12" s="132">
        <v>1439</v>
      </c>
      <c r="G12" s="133">
        <v>1805</v>
      </c>
      <c r="I12" s="488">
        <v>3217</v>
      </c>
      <c r="J12" s="488">
        <v>386</v>
      </c>
      <c r="K12" s="488">
        <v>1043</v>
      </c>
      <c r="L12" s="488">
        <v>781</v>
      </c>
      <c r="M12" s="488">
        <v>1007</v>
      </c>
      <c r="N12" s="460"/>
    </row>
    <row r="13" spans="2:14" ht="20.100000000000001" customHeight="1">
      <c r="B13" s="489" t="s">
        <v>317</v>
      </c>
      <c r="C13" s="132">
        <v>485</v>
      </c>
      <c r="D13" s="132">
        <v>61</v>
      </c>
      <c r="E13" s="132">
        <v>95</v>
      </c>
      <c r="F13" s="132">
        <v>97</v>
      </c>
      <c r="G13" s="133">
        <v>232</v>
      </c>
      <c r="I13" s="488">
        <v>439</v>
      </c>
      <c r="J13" s="488">
        <v>73</v>
      </c>
      <c r="K13" s="488">
        <v>43</v>
      </c>
      <c r="L13" s="488">
        <v>191</v>
      </c>
      <c r="M13" s="488">
        <v>132</v>
      </c>
      <c r="N13" s="460"/>
    </row>
    <row r="14" spans="2:14" ht="20.100000000000001" customHeight="1">
      <c r="B14" s="489" t="s">
        <v>11</v>
      </c>
      <c r="C14" s="132">
        <v>3790</v>
      </c>
      <c r="D14" s="132">
        <v>1023</v>
      </c>
      <c r="E14" s="132">
        <v>861</v>
      </c>
      <c r="F14" s="132">
        <v>1020</v>
      </c>
      <c r="G14" s="133">
        <v>886</v>
      </c>
      <c r="I14" s="488">
        <v>4195</v>
      </c>
      <c r="J14" s="488">
        <v>1130</v>
      </c>
      <c r="K14" s="488">
        <v>1018</v>
      </c>
      <c r="L14" s="488">
        <v>916</v>
      </c>
      <c r="M14" s="488">
        <v>1131</v>
      </c>
      <c r="N14" s="460"/>
    </row>
    <row r="15" spans="2:14" ht="20.100000000000001" customHeight="1">
      <c r="B15" s="487" t="s">
        <v>12</v>
      </c>
      <c r="C15" s="134">
        <v>1676</v>
      </c>
      <c r="D15" s="134">
        <v>301</v>
      </c>
      <c r="E15" s="134">
        <v>433</v>
      </c>
      <c r="F15" s="134">
        <v>506</v>
      </c>
      <c r="G15" s="135">
        <v>436</v>
      </c>
      <c r="I15" s="306">
        <v>1559</v>
      </c>
      <c r="J15" s="307">
        <v>289</v>
      </c>
      <c r="K15" s="307">
        <v>420</v>
      </c>
      <c r="L15" s="306">
        <v>444</v>
      </c>
      <c r="M15" s="307">
        <v>406</v>
      </c>
      <c r="N15" s="460"/>
    </row>
    <row r="16" spans="2:14" ht="20.100000000000001" customHeight="1">
      <c r="B16" s="460"/>
      <c r="C16" s="460"/>
      <c r="D16" s="460"/>
      <c r="E16" s="460"/>
      <c r="F16" s="460"/>
      <c r="G16" s="460"/>
      <c r="H16" s="460"/>
      <c r="I16" s="460"/>
      <c r="J16" s="460"/>
      <c r="K16" s="460"/>
      <c r="L16" s="460"/>
      <c r="M16" s="460"/>
      <c r="N16" s="460"/>
    </row>
    <row r="17" spans="2:14" ht="15.75">
      <c r="B17" s="1164" t="s">
        <v>265</v>
      </c>
      <c r="C17" s="1164"/>
      <c r="D17" s="1164"/>
      <c r="E17" s="1164"/>
      <c r="F17" s="1164"/>
      <c r="G17" s="1164"/>
      <c r="H17" s="1164"/>
      <c r="I17" s="1164"/>
      <c r="J17" s="1164"/>
      <c r="K17" s="1164"/>
      <c r="L17" s="1164"/>
      <c r="M17" s="1164"/>
      <c r="N17" s="4"/>
    </row>
    <row r="18" spans="2:14" ht="20.100000000000001" customHeight="1">
      <c r="B18" s="460"/>
      <c r="C18" s="460"/>
      <c r="D18" s="460"/>
      <c r="E18" s="460"/>
      <c r="F18" s="460"/>
      <c r="G18" s="460"/>
      <c r="H18" s="460"/>
      <c r="I18" s="73"/>
      <c r="J18" s="73"/>
      <c r="K18" s="73"/>
      <c r="L18" s="73"/>
      <c r="M18" s="73"/>
      <c r="N18" s="4"/>
    </row>
    <row r="19" spans="2:14" ht="20.100000000000001" customHeight="1">
      <c r="N19" s="6"/>
    </row>
    <row r="20" spans="2:14" ht="20.100000000000001" customHeight="1">
      <c r="N20" s="460"/>
    </row>
    <row r="21" spans="2:14" ht="20.100000000000001" customHeight="1">
      <c r="N21" s="460"/>
    </row>
    <row r="22" spans="2:14" ht="20.100000000000001" customHeight="1">
      <c r="N22" s="460"/>
    </row>
    <row r="23" spans="2:14" ht="20.100000000000001" customHeight="1">
      <c r="N23" s="6"/>
    </row>
    <row r="24" spans="2:14" ht="20.100000000000001" customHeight="1">
      <c r="N24" s="460"/>
    </row>
    <row r="25" spans="2:14" ht="20.100000000000001" customHeight="1">
      <c r="N25" s="460"/>
    </row>
    <row r="26" spans="2:14" ht="20.100000000000001" customHeight="1">
      <c r="N26" s="460"/>
    </row>
    <row r="28" spans="2:14" ht="16.5" customHeight="1"/>
    <row r="30" spans="2:14" ht="15.75">
      <c r="B30" s="1162"/>
      <c r="C30" s="1162"/>
      <c r="D30" s="1162"/>
      <c r="E30" s="1162"/>
      <c r="F30" s="1162"/>
      <c r="G30" s="1162"/>
      <c r="H30" s="1162"/>
      <c r="I30" s="1162"/>
      <c r="J30" s="1162"/>
      <c r="K30" s="1162"/>
      <c r="L30" s="1162"/>
      <c r="M30" s="1162"/>
    </row>
    <row r="31" spans="2:14" ht="15.75">
      <c r="B31" s="105"/>
      <c r="C31" s="339"/>
      <c r="D31" s="339"/>
      <c r="E31" s="339"/>
      <c r="F31" s="339"/>
      <c r="G31" s="339"/>
      <c r="H31" s="339"/>
      <c r="I31" s="339"/>
      <c r="J31" s="339"/>
      <c r="K31" s="339"/>
      <c r="L31" s="339"/>
      <c r="M31" s="339"/>
    </row>
    <row r="36" ht="32.1" customHeight="1"/>
    <row r="37" ht="32.1" customHeight="1"/>
  </sheetData>
  <mergeCells count="5">
    <mergeCell ref="B30:M30"/>
    <mergeCell ref="B2:M2"/>
    <mergeCell ref="D4:G4"/>
    <mergeCell ref="J4:M4"/>
    <mergeCell ref="B17:M17"/>
  </mergeCells>
  <pageMargins left="0.31496062992125984" right="0.19685039370078741" top="0.98425196850393704" bottom="0.98425196850393704" header="0.51181102362204722" footer="0.51181102362204722"/>
  <pageSetup paperSize="9" scale="78"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50">
    <tabColor rgb="FF733E8D"/>
  </sheetPr>
  <dimension ref="B2:R54"/>
  <sheetViews>
    <sheetView showGridLines="0" view="pageBreakPreview" topLeftCell="B1" zoomScaleNormal="140" zoomScaleSheetLayoutView="100" zoomScalePageLayoutView="140" workbookViewId="0">
      <selection activeCell="B15" sqref="B15"/>
    </sheetView>
  </sheetViews>
  <sheetFormatPr defaultColWidth="10.875" defaultRowHeight="20.100000000000001" customHeight="1"/>
  <cols>
    <col min="1" max="1" width="5.5" style="468" customWidth="1"/>
    <col min="2" max="2" width="27" style="468" customWidth="1"/>
    <col min="3" max="3" width="10.875" style="468"/>
    <col min="4" max="4" width="12.5" style="468" customWidth="1"/>
    <col min="5" max="5" width="10.875" style="468"/>
    <col min="6" max="6" width="12.5" style="468" customWidth="1"/>
    <col min="7" max="7" width="10.875" style="468"/>
    <col min="8" max="8" width="11.5" style="468" customWidth="1"/>
    <col min="9" max="16384" width="10.875" style="468"/>
  </cols>
  <sheetData>
    <row r="2" spans="2:18" ht="20.100000000000001" customHeight="1">
      <c r="B2" s="1156" t="str">
        <f>UPPER("Oil and gas acreage")</f>
        <v>OIL AND GAS ACREAGE</v>
      </c>
      <c r="C2" s="1156"/>
      <c r="D2" s="1156"/>
      <c r="E2" s="1156"/>
      <c r="F2" s="1156"/>
      <c r="G2" s="1156"/>
    </row>
    <row r="4" spans="2:18" ht="20.100000000000001" customHeight="1">
      <c r="B4" s="1212" t="s">
        <v>640</v>
      </c>
      <c r="C4" s="1212"/>
      <c r="D4" s="1209">
        <v>2017</v>
      </c>
      <c r="E4" s="1209"/>
      <c r="F4" s="1209">
        <v>2016</v>
      </c>
      <c r="G4" s="1210"/>
      <c r="H4" s="1209">
        <v>2015</v>
      </c>
      <c r="I4" s="1210"/>
    </row>
    <row r="5" spans="2:18" ht="39" customHeight="1">
      <c r="B5" s="1211" t="s">
        <v>639</v>
      </c>
      <c r="C5" s="1211"/>
      <c r="D5" s="825" t="s">
        <v>638</v>
      </c>
      <c r="E5" s="826" t="s">
        <v>637</v>
      </c>
      <c r="F5" s="825" t="s">
        <v>638</v>
      </c>
      <c r="G5" s="826" t="s">
        <v>637</v>
      </c>
      <c r="H5" s="825" t="s">
        <v>638</v>
      </c>
      <c r="I5" s="826" t="s">
        <v>637</v>
      </c>
      <c r="L5" s="694"/>
      <c r="M5" s="693"/>
      <c r="N5" s="694"/>
      <c r="O5" s="694"/>
      <c r="P5" s="694"/>
      <c r="Q5" s="693"/>
      <c r="R5" s="693"/>
    </row>
    <row r="6" spans="2:18" ht="20.100000000000001" customHeight="1">
      <c r="B6" s="363" t="s">
        <v>636</v>
      </c>
      <c r="C6" s="363" t="s">
        <v>633</v>
      </c>
      <c r="D6" s="25">
        <v>17885</v>
      </c>
      <c r="E6" s="25">
        <v>730</v>
      </c>
      <c r="F6" s="122">
        <v>18416</v>
      </c>
      <c r="G6" s="122">
        <v>719</v>
      </c>
      <c r="H6" s="122">
        <v>23346</v>
      </c>
      <c r="I6" s="122">
        <v>764</v>
      </c>
    </row>
    <row r="7" spans="2:18" ht="20.100000000000001" customHeight="1">
      <c r="B7" s="17"/>
      <c r="C7" s="17" t="s">
        <v>634</v>
      </c>
      <c r="D7" s="827">
        <v>6567</v>
      </c>
      <c r="E7" s="827">
        <v>165</v>
      </c>
      <c r="F7" s="824">
        <v>6989</v>
      </c>
      <c r="G7" s="824">
        <v>154</v>
      </c>
      <c r="H7" s="824">
        <v>9581</v>
      </c>
      <c r="I7" s="824">
        <v>158</v>
      </c>
    </row>
    <row r="8" spans="2:18" ht="20.100000000000001" customHeight="1">
      <c r="B8" s="363" t="s">
        <v>421</v>
      </c>
      <c r="C8" s="363" t="s">
        <v>633</v>
      </c>
      <c r="D8" s="25">
        <v>3758</v>
      </c>
      <c r="E8" s="25">
        <v>604</v>
      </c>
      <c r="F8" s="122">
        <v>3584</v>
      </c>
      <c r="G8" s="122">
        <v>503</v>
      </c>
      <c r="H8" s="122">
        <v>3659</v>
      </c>
      <c r="I8" s="122">
        <v>520</v>
      </c>
    </row>
    <row r="9" spans="2:18" ht="20.100000000000001" customHeight="1">
      <c r="B9" s="17"/>
      <c r="C9" s="17" t="s">
        <v>634</v>
      </c>
      <c r="D9" s="827">
        <v>691</v>
      </c>
      <c r="E9" s="827">
        <v>121</v>
      </c>
      <c r="F9" s="824">
        <v>666</v>
      </c>
      <c r="G9" s="824">
        <v>93</v>
      </c>
      <c r="H9" s="824">
        <v>728</v>
      </c>
      <c r="I9" s="824">
        <v>96</v>
      </c>
    </row>
    <row r="10" spans="2:18" ht="20.100000000000001" customHeight="1">
      <c r="B10" s="363" t="s">
        <v>481</v>
      </c>
      <c r="C10" s="363" t="s">
        <v>633</v>
      </c>
      <c r="D10" s="25">
        <v>73608</v>
      </c>
      <c r="E10" s="25">
        <v>829</v>
      </c>
      <c r="F10" s="122">
        <v>79517</v>
      </c>
      <c r="G10" s="122">
        <v>806</v>
      </c>
      <c r="H10" s="122">
        <v>82757</v>
      </c>
      <c r="I10" s="122">
        <v>817</v>
      </c>
    </row>
    <row r="11" spans="2:18" ht="20.100000000000001" customHeight="1">
      <c r="B11" s="17"/>
      <c r="C11" s="17" t="s">
        <v>634</v>
      </c>
      <c r="D11" s="827">
        <v>53518</v>
      </c>
      <c r="E11" s="827">
        <v>204</v>
      </c>
      <c r="F11" s="824">
        <v>46071</v>
      </c>
      <c r="G11" s="824">
        <v>200</v>
      </c>
      <c r="H11" s="824">
        <v>45852</v>
      </c>
      <c r="I11" s="824">
        <v>207</v>
      </c>
    </row>
    <row r="12" spans="2:18" ht="20.100000000000001" customHeight="1">
      <c r="B12" s="363" t="s">
        <v>635</v>
      </c>
      <c r="C12" s="363" t="s">
        <v>633</v>
      </c>
      <c r="D12" s="25">
        <v>32977</v>
      </c>
      <c r="E12" s="25">
        <v>2879</v>
      </c>
      <c r="F12" s="122">
        <v>37148</v>
      </c>
      <c r="G12" s="122">
        <v>2606</v>
      </c>
      <c r="H12" s="122">
        <v>38582</v>
      </c>
      <c r="I12" s="122">
        <v>2686</v>
      </c>
    </row>
    <row r="13" spans="2:18" ht="20.100000000000001" customHeight="1">
      <c r="B13" s="17"/>
      <c r="C13" s="17" t="s">
        <v>634</v>
      </c>
      <c r="D13" s="827">
        <v>5902</v>
      </c>
      <c r="E13" s="827">
        <v>445</v>
      </c>
      <c r="F13" s="824">
        <v>9991</v>
      </c>
      <c r="G13" s="824">
        <v>371</v>
      </c>
      <c r="H13" s="824">
        <v>10545</v>
      </c>
      <c r="I13" s="824">
        <v>366</v>
      </c>
    </row>
    <row r="14" spans="2:18" ht="20.100000000000001" customHeight="1">
      <c r="B14" s="363" t="s">
        <v>443</v>
      </c>
      <c r="C14" s="363" t="s">
        <v>633</v>
      </c>
      <c r="D14" s="25">
        <v>20487</v>
      </c>
      <c r="E14" s="25">
        <v>1075</v>
      </c>
      <c r="F14" s="122">
        <v>24569</v>
      </c>
      <c r="G14" s="122">
        <v>992</v>
      </c>
      <c r="H14" s="122">
        <v>23881</v>
      </c>
      <c r="I14" s="122">
        <v>984</v>
      </c>
    </row>
    <row r="15" spans="2:18" ht="20.100000000000001" customHeight="1">
      <c r="B15" s="17"/>
      <c r="C15" s="17" t="s">
        <v>634</v>
      </c>
      <c r="D15" s="827">
        <v>11985</v>
      </c>
      <c r="E15" s="827">
        <v>527</v>
      </c>
      <c r="F15" s="824">
        <v>13155</v>
      </c>
      <c r="G15" s="824">
        <v>468</v>
      </c>
      <c r="H15" s="824">
        <v>9186</v>
      </c>
      <c r="I15" s="824">
        <v>304</v>
      </c>
    </row>
    <row r="16" spans="2:18" ht="20.100000000000001" customHeight="1">
      <c r="B16" s="363" t="s">
        <v>434</v>
      </c>
      <c r="C16" s="363" t="s">
        <v>633</v>
      </c>
      <c r="D16" s="25">
        <v>52477</v>
      </c>
      <c r="E16" s="25">
        <v>885</v>
      </c>
      <c r="F16" s="122">
        <v>44242</v>
      </c>
      <c r="G16" s="122">
        <v>738</v>
      </c>
      <c r="H16" s="122">
        <v>38834</v>
      </c>
      <c r="I16" s="122">
        <v>672</v>
      </c>
    </row>
    <row r="17" spans="2:9" ht="20.100000000000001" customHeight="1">
      <c r="B17" s="365"/>
      <c r="C17" s="365" t="s">
        <v>634</v>
      </c>
      <c r="D17" s="827">
        <v>34556</v>
      </c>
      <c r="E17" s="827">
        <v>321</v>
      </c>
      <c r="F17" s="824">
        <v>27373</v>
      </c>
      <c r="G17" s="824">
        <v>276</v>
      </c>
      <c r="H17" s="824">
        <v>23285</v>
      </c>
      <c r="I17" s="824">
        <v>251</v>
      </c>
    </row>
    <row r="18" spans="2:9" ht="20.100000000000001" customHeight="1">
      <c r="B18" s="1213" t="s">
        <v>36</v>
      </c>
      <c r="C18" s="742" t="s">
        <v>633</v>
      </c>
      <c r="D18" s="585">
        <v>201192</v>
      </c>
      <c r="E18" s="585">
        <v>7002</v>
      </c>
      <c r="F18" s="585">
        <v>207476</v>
      </c>
      <c r="G18" s="585">
        <v>6364</v>
      </c>
      <c r="H18" s="585">
        <v>211059</v>
      </c>
      <c r="I18" s="585">
        <v>6443</v>
      </c>
    </row>
    <row r="19" spans="2:9" ht="20.100000000000001" customHeight="1">
      <c r="B19" s="1214"/>
      <c r="C19" s="820" t="s">
        <v>632</v>
      </c>
      <c r="D19" s="795">
        <v>113219</v>
      </c>
      <c r="E19" s="795">
        <v>1783</v>
      </c>
      <c r="F19" s="795">
        <v>104245</v>
      </c>
      <c r="G19" s="795">
        <v>1562</v>
      </c>
      <c r="H19" s="795">
        <v>99177</v>
      </c>
      <c r="I19" s="795">
        <v>1382</v>
      </c>
    </row>
    <row r="21" spans="2:9" ht="20.100000000000001" customHeight="1">
      <c r="B21" s="1212" t="s">
        <v>640</v>
      </c>
      <c r="C21" s="1212"/>
      <c r="D21" s="1209">
        <v>2014</v>
      </c>
      <c r="E21" s="1210"/>
      <c r="F21" s="1209">
        <v>2013</v>
      </c>
      <c r="G21" s="1210"/>
      <c r="H21" s="1209">
        <v>2012</v>
      </c>
      <c r="I21" s="1210"/>
    </row>
    <row r="22" spans="2:9" ht="36" customHeight="1">
      <c r="B22" s="1211" t="s">
        <v>639</v>
      </c>
      <c r="C22" s="1211"/>
      <c r="D22" s="825" t="s">
        <v>638</v>
      </c>
      <c r="E22" s="826" t="s">
        <v>637</v>
      </c>
      <c r="F22" s="825" t="s">
        <v>638</v>
      </c>
      <c r="G22" s="825" t="s">
        <v>637</v>
      </c>
      <c r="H22" s="825" t="s">
        <v>638</v>
      </c>
      <c r="I22" s="825" t="s">
        <v>637</v>
      </c>
    </row>
    <row r="23" spans="2:9" ht="20.100000000000001" customHeight="1">
      <c r="B23" s="363" t="s">
        <v>636</v>
      </c>
      <c r="C23" s="363" t="s">
        <v>633</v>
      </c>
      <c r="D23" s="122">
        <v>24369</v>
      </c>
      <c r="E23" s="122">
        <v>747</v>
      </c>
      <c r="F23" s="122">
        <v>24777</v>
      </c>
      <c r="G23" s="822">
        <v>784</v>
      </c>
      <c r="H23" s="122">
        <v>10943</v>
      </c>
      <c r="I23" s="822">
        <v>731</v>
      </c>
    </row>
    <row r="24" spans="2:9" ht="20.100000000000001" customHeight="1">
      <c r="B24" s="17"/>
      <c r="C24" s="17" t="s">
        <v>634</v>
      </c>
      <c r="D24" s="824">
        <v>11123</v>
      </c>
      <c r="E24" s="824">
        <v>152</v>
      </c>
      <c r="F24" s="824">
        <v>11252</v>
      </c>
      <c r="G24" s="823">
        <v>173</v>
      </c>
      <c r="H24" s="824">
        <v>7240</v>
      </c>
      <c r="I24" s="823">
        <v>176</v>
      </c>
    </row>
    <row r="25" spans="2:9" ht="20.100000000000001" customHeight="1">
      <c r="B25" s="363" t="s">
        <v>421</v>
      </c>
      <c r="C25" s="363" t="s">
        <v>633</v>
      </c>
      <c r="D25" s="122">
        <v>3419</v>
      </c>
      <c r="E25" s="122">
        <v>1370</v>
      </c>
      <c r="F25" s="122">
        <v>338</v>
      </c>
      <c r="G25" s="822">
        <v>375</v>
      </c>
      <c r="H25" s="122">
        <v>4372</v>
      </c>
      <c r="I25" s="822">
        <v>375</v>
      </c>
    </row>
    <row r="26" spans="2:9" ht="20.100000000000001" customHeight="1">
      <c r="B26" s="17"/>
      <c r="C26" s="17" t="s">
        <v>634</v>
      </c>
      <c r="D26" s="824">
        <v>1333</v>
      </c>
      <c r="E26" s="824">
        <v>215</v>
      </c>
      <c r="F26" s="824">
        <v>131</v>
      </c>
      <c r="G26" s="823">
        <v>66</v>
      </c>
      <c r="H26" s="824">
        <v>2836</v>
      </c>
      <c r="I26" s="823">
        <v>61</v>
      </c>
    </row>
    <row r="27" spans="2:9" ht="20.100000000000001" customHeight="1">
      <c r="B27" s="363" t="s">
        <v>481</v>
      </c>
      <c r="C27" s="363" t="s">
        <v>633</v>
      </c>
      <c r="D27" s="122">
        <v>90974</v>
      </c>
      <c r="E27" s="122">
        <v>810</v>
      </c>
      <c r="F27" s="122">
        <v>100030</v>
      </c>
      <c r="G27" s="822">
        <v>765</v>
      </c>
      <c r="H27" s="122">
        <v>96824</v>
      </c>
      <c r="I27" s="822">
        <v>755</v>
      </c>
    </row>
    <row r="28" spans="2:9" ht="20.100000000000001" customHeight="1">
      <c r="B28" s="17"/>
      <c r="C28" s="17" t="s">
        <v>634</v>
      </c>
      <c r="D28" s="824">
        <v>50990</v>
      </c>
      <c r="E28" s="824">
        <v>211</v>
      </c>
      <c r="F28" s="824">
        <v>56625</v>
      </c>
      <c r="G28" s="823">
        <v>201</v>
      </c>
      <c r="H28" s="824">
        <v>56260</v>
      </c>
      <c r="I28" s="823">
        <v>198</v>
      </c>
    </row>
    <row r="29" spans="2:9" ht="20.100000000000001" customHeight="1">
      <c r="B29" s="363" t="s">
        <v>635</v>
      </c>
      <c r="C29" s="363" t="s">
        <v>633</v>
      </c>
      <c r="D29" s="122">
        <v>65787</v>
      </c>
      <c r="E29" s="122">
        <v>1710</v>
      </c>
      <c r="F29" s="122">
        <v>67370</v>
      </c>
      <c r="G29" s="822">
        <v>1983</v>
      </c>
      <c r="H29" s="122">
        <v>71154</v>
      </c>
      <c r="I29" s="822">
        <v>2397</v>
      </c>
    </row>
    <row r="30" spans="2:9" ht="20.100000000000001" customHeight="1">
      <c r="B30" s="17"/>
      <c r="C30" s="17" t="s">
        <v>634</v>
      </c>
      <c r="D30" s="824">
        <v>38481</v>
      </c>
      <c r="E30" s="824">
        <v>268</v>
      </c>
      <c r="F30" s="824">
        <v>34403</v>
      </c>
      <c r="G30" s="823">
        <v>332</v>
      </c>
      <c r="H30" s="824">
        <v>35280</v>
      </c>
      <c r="I30" s="823">
        <v>396</v>
      </c>
    </row>
    <row r="31" spans="2:9" ht="20.100000000000001" customHeight="1">
      <c r="B31" s="363" t="s">
        <v>443</v>
      </c>
      <c r="C31" s="363" t="s">
        <v>633</v>
      </c>
      <c r="D31" s="122">
        <v>25081</v>
      </c>
      <c r="E31" s="122">
        <v>962</v>
      </c>
      <c r="F31" s="122">
        <v>19790</v>
      </c>
      <c r="G31" s="822">
        <v>960</v>
      </c>
      <c r="H31" s="122">
        <v>16604</v>
      </c>
      <c r="I31" s="822">
        <v>1705</v>
      </c>
    </row>
    <row r="32" spans="2:9" ht="20.100000000000001" customHeight="1">
      <c r="B32" s="17"/>
      <c r="C32" s="17" t="s">
        <v>634</v>
      </c>
      <c r="D32" s="824">
        <v>11375</v>
      </c>
      <c r="E32" s="824">
        <v>299</v>
      </c>
      <c r="F32" s="824">
        <v>9391</v>
      </c>
      <c r="G32" s="823">
        <v>286</v>
      </c>
      <c r="H32" s="824">
        <v>6800</v>
      </c>
      <c r="I32" s="823">
        <v>330</v>
      </c>
    </row>
    <row r="33" spans="2:9" ht="20.100000000000001" customHeight="1">
      <c r="B33" s="363" t="s">
        <v>434</v>
      </c>
      <c r="C33" s="363" t="s">
        <v>633</v>
      </c>
      <c r="D33" s="122">
        <v>36307</v>
      </c>
      <c r="E33" s="122">
        <v>651</v>
      </c>
      <c r="F33" s="122">
        <v>41668</v>
      </c>
      <c r="G33" s="822">
        <v>627</v>
      </c>
      <c r="H33" s="122">
        <v>31909</v>
      </c>
      <c r="I33" s="822">
        <v>573</v>
      </c>
    </row>
    <row r="34" spans="2:9" ht="20.100000000000001" customHeight="1">
      <c r="B34" s="365"/>
      <c r="C34" s="365" t="s">
        <v>634</v>
      </c>
      <c r="D34" s="123">
        <v>21004</v>
      </c>
      <c r="E34" s="123">
        <v>244</v>
      </c>
      <c r="F34" s="123">
        <v>23801</v>
      </c>
      <c r="G34" s="821">
        <v>233</v>
      </c>
      <c r="H34" s="123">
        <v>14989</v>
      </c>
      <c r="I34" s="821">
        <v>208</v>
      </c>
    </row>
    <row r="35" spans="2:9" ht="20.100000000000001" customHeight="1">
      <c r="B35" s="1213" t="s">
        <v>36</v>
      </c>
      <c r="C35" s="742" t="s">
        <v>633</v>
      </c>
      <c r="D35" s="585">
        <v>245937</v>
      </c>
      <c r="E35" s="585">
        <v>6250</v>
      </c>
      <c r="F35" s="585">
        <v>253973</v>
      </c>
      <c r="G35" s="697">
        <v>5494</v>
      </c>
      <c r="H35" s="585">
        <v>231806</v>
      </c>
      <c r="I35" s="697">
        <v>6536</v>
      </c>
    </row>
    <row r="36" spans="2:9" ht="20.100000000000001" customHeight="1">
      <c r="B36" s="1214"/>
      <c r="C36" s="820" t="s">
        <v>632</v>
      </c>
      <c r="D36" s="795">
        <v>134306</v>
      </c>
      <c r="E36" s="795">
        <v>1389</v>
      </c>
      <c r="F36" s="795">
        <v>135603</v>
      </c>
      <c r="G36" s="819">
        <v>1291</v>
      </c>
      <c r="H36" s="795">
        <v>123405</v>
      </c>
      <c r="I36" s="819">
        <v>1369</v>
      </c>
    </row>
    <row r="37" spans="2:9" ht="8.25" customHeight="1"/>
    <row r="38" spans="2:9" s="469" customFormat="1" ht="20.100000000000001" customHeight="1">
      <c r="B38" s="1215" t="s">
        <v>631</v>
      </c>
      <c r="C38" s="1215"/>
      <c r="D38" s="1215"/>
      <c r="E38" s="1215"/>
      <c r="F38" s="1215"/>
      <c r="G38" s="1215"/>
    </row>
    <row r="39" spans="2:9" s="463" customFormat="1" ht="20.100000000000001" customHeight="1">
      <c r="B39" s="1216" t="s">
        <v>630</v>
      </c>
      <c r="C39" s="1216"/>
      <c r="D39" s="1216"/>
      <c r="E39" s="1216"/>
      <c r="F39" s="1216"/>
      <c r="G39" s="1216"/>
    </row>
    <row r="40" spans="2:9" ht="35.1" customHeight="1"/>
    <row r="41" spans="2:9" ht="26.1" customHeight="1"/>
    <row r="54" ht="12.95" customHeight="1"/>
  </sheetData>
  <mergeCells count="15">
    <mergeCell ref="B35:B36"/>
    <mergeCell ref="B38:G38"/>
    <mergeCell ref="B39:G39"/>
    <mergeCell ref="B18:B19"/>
    <mergeCell ref="B21:C21"/>
    <mergeCell ref="D21:E21"/>
    <mergeCell ref="F21:G21"/>
    <mergeCell ref="H21:I21"/>
    <mergeCell ref="B22:C22"/>
    <mergeCell ref="B2:G2"/>
    <mergeCell ref="B4:C4"/>
    <mergeCell ref="D4:E4"/>
    <mergeCell ref="F4:G4"/>
    <mergeCell ref="H4:I4"/>
    <mergeCell ref="B5:C5"/>
  </mergeCells>
  <pageMargins left="0.75" right="0.75" top="1" bottom="1" header="0.5" footer="0.5"/>
  <pageSetup paperSize="9" scale="66" orientation="portrait" horizontalDpi="4294967292" verticalDpi="4294967292"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51">
    <tabColor rgb="FF733E8D"/>
  </sheetPr>
  <dimension ref="B2:I37"/>
  <sheetViews>
    <sheetView showGridLines="0" view="pageBreakPreview" zoomScaleNormal="140" zoomScaleSheetLayoutView="100" zoomScalePageLayoutView="140" workbookViewId="0">
      <selection activeCell="B15" sqref="B15"/>
    </sheetView>
  </sheetViews>
  <sheetFormatPr defaultColWidth="10.875" defaultRowHeight="20.100000000000001" customHeight="1"/>
  <cols>
    <col min="1" max="1" width="5.5" style="468" customWidth="1"/>
    <col min="2" max="2" width="39.375" style="468" customWidth="1"/>
    <col min="3" max="16384" width="10.875" style="468"/>
  </cols>
  <sheetData>
    <row r="2" spans="2:9" ht="20.100000000000001" customHeight="1">
      <c r="B2" s="1156" t="str">
        <f>UPPER("Number of productive wells")</f>
        <v>NUMBER OF PRODUCTIVE WELLS</v>
      </c>
      <c r="C2" s="1156"/>
      <c r="D2" s="1156"/>
      <c r="E2" s="1156"/>
      <c r="F2" s="1156"/>
      <c r="G2" s="1156"/>
    </row>
    <row r="4" spans="2:9" ht="20.100000000000001" customHeight="1">
      <c r="B4" s="833" t="s">
        <v>45</v>
      </c>
      <c r="D4" s="1217">
        <v>2017</v>
      </c>
      <c r="E4" s="1192"/>
      <c r="F4" s="1217">
        <v>2016</v>
      </c>
      <c r="G4" s="1192"/>
      <c r="H4" s="1217">
        <v>2015</v>
      </c>
      <c r="I4" s="1192"/>
    </row>
    <row r="5" spans="2:9" ht="47.1" customHeight="1">
      <c r="B5" s="1218" t="s">
        <v>646</v>
      </c>
      <c r="C5" s="1218"/>
      <c r="D5" s="832" t="s">
        <v>645</v>
      </c>
      <c r="E5" s="826" t="s">
        <v>644</v>
      </c>
      <c r="F5" s="832" t="s">
        <v>645</v>
      </c>
      <c r="G5" s="826" t="s">
        <v>644</v>
      </c>
      <c r="H5" s="832" t="s">
        <v>645</v>
      </c>
      <c r="I5" s="826" t="s">
        <v>644</v>
      </c>
    </row>
    <row r="6" spans="2:9" ht="20.100000000000001" customHeight="1">
      <c r="B6" s="363" t="s">
        <v>636</v>
      </c>
      <c r="C6" s="363" t="s">
        <v>643</v>
      </c>
      <c r="D6" s="835">
        <v>436</v>
      </c>
      <c r="E6" s="24">
        <v>114</v>
      </c>
      <c r="F6" s="591">
        <v>415</v>
      </c>
      <c r="G6" s="351">
        <v>106</v>
      </c>
      <c r="H6" s="591">
        <v>407</v>
      </c>
      <c r="I6" s="351">
        <v>108</v>
      </c>
    </row>
    <row r="7" spans="2:9" ht="20.100000000000001" customHeight="1">
      <c r="B7" s="17"/>
      <c r="C7" s="17" t="s">
        <v>642</v>
      </c>
      <c r="D7" s="834">
        <v>244</v>
      </c>
      <c r="E7" s="834">
        <v>90</v>
      </c>
      <c r="F7" s="831">
        <v>259</v>
      </c>
      <c r="G7" s="831">
        <v>87</v>
      </c>
      <c r="H7" s="831">
        <v>289</v>
      </c>
      <c r="I7" s="831">
        <v>88</v>
      </c>
    </row>
    <row r="8" spans="2:9" ht="20.100000000000001" customHeight="1">
      <c r="B8" s="363" t="s">
        <v>421</v>
      </c>
      <c r="C8" s="363" t="s">
        <v>643</v>
      </c>
      <c r="D8" s="24">
        <v>297</v>
      </c>
      <c r="E8" s="24">
        <v>55</v>
      </c>
      <c r="F8" s="351">
        <v>232</v>
      </c>
      <c r="G8" s="351">
        <v>39</v>
      </c>
      <c r="H8" s="351">
        <v>207</v>
      </c>
      <c r="I8" s="351">
        <v>42</v>
      </c>
    </row>
    <row r="9" spans="2:9" ht="20.100000000000001" customHeight="1">
      <c r="B9" s="17"/>
      <c r="C9" s="17" t="s">
        <v>642</v>
      </c>
      <c r="D9" s="834">
        <v>574</v>
      </c>
      <c r="E9" s="834">
        <v>100</v>
      </c>
      <c r="F9" s="831">
        <v>489</v>
      </c>
      <c r="G9" s="831">
        <v>80</v>
      </c>
      <c r="H9" s="831">
        <v>516</v>
      </c>
      <c r="I9" s="831">
        <v>80</v>
      </c>
    </row>
    <row r="10" spans="2:9" ht="20.100000000000001" customHeight="1">
      <c r="B10" s="363" t="s">
        <v>481</v>
      </c>
      <c r="C10" s="363" t="s">
        <v>643</v>
      </c>
      <c r="D10" s="24">
        <v>1590</v>
      </c>
      <c r="E10" s="24">
        <v>442</v>
      </c>
      <c r="F10" s="351">
        <v>2091</v>
      </c>
      <c r="G10" s="351">
        <v>561</v>
      </c>
      <c r="H10" s="351">
        <v>2165</v>
      </c>
      <c r="I10" s="351">
        <v>601</v>
      </c>
    </row>
    <row r="11" spans="2:9" ht="20.100000000000001" customHeight="1">
      <c r="B11" s="17"/>
      <c r="C11" s="17" t="s">
        <v>642</v>
      </c>
      <c r="D11" s="834">
        <v>75</v>
      </c>
      <c r="E11" s="834">
        <v>15</v>
      </c>
      <c r="F11" s="831">
        <v>96</v>
      </c>
      <c r="G11" s="831">
        <v>19</v>
      </c>
      <c r="H11" s="831">
        <v>98</v>
      </c>
      <c r="I11" s="831">
        <v>22</v>
      </c>
    </row>
    <row r="12" spans="2:9" ht="20.100000000000001" customHeight="1">
      <c r="B12" s="363" t="s">
        <v>635</v>
      </c>
      <c r="C12" s="363" t="s">
        <v>643</v>
      </c>
      <c r="D12" s="24">
        <v>10197</v>
      </c>
      <c r="E12" s="24">
        <v>628</v>
      </c>
      <c r="F12" s="351">
        <v>9385</v>
      </c>
      <c r="G12" s="351">
        <v>609</v>
      </c>
      <c r="H12" s="351">
        <v>7992</v>
      </c>
      <c r="I12" s="351">
        <v>534</v>
      </c>
    </row>
    <row r="13" spans="2:9" ht="20.100000000000001" customHeight="1">
      <c r="B13" s="17"/>
      <c r="C13" s="17" t="s">
        <v>642</v>
      </c>
      <c r="D13" s="834">
        <v>168</v>
      </c>
      <c r="E13" s="834">
        <v>41</v>
      </c>
      <c r="F13" s="831">
        <v>161</v>
      </c>
      <c r="G13" s="831">
        <v>44</v>
      </c>
      <c r="H13" s="831">
        <v>159</v>
      </c>
      <c r="I13" s="831">
        <v>44</v>
      </c>
    </row>
    <row r="14" spans="2:9" ht="20.100000000000001" customHeight="1">
      <c r="B14" s="363" t="s">
        <v>443</v>
      </c>
      <c r="C14" s="363" t="s">
        <v>643</v>
      </c>
      <c r="D14" s="24">
        <v>1044</v>
      </c>
      <c r="E14" s="24">
        <v>346</v>
      </c>
      <c r="F14" s="351">
        <v>954</v>
      </c>
      <c r="G14" s="351">
        <v>322</v>
      </c>
      <c r="H14" s="351">
        <v>1092</v>
      </c>
      <c r="I14" s="351">
        <v>349</v>
      </c>
    </row>
    <row r="15" spans="2:9" ht="20.100000000000001" customHeight="1">
      <c r="B15" s="17"/>
      <c r="C15" s="17" t="s">
        <v>642</v>
      </c>
      <c r="D15" s="834">
        <v>3422</v>
      </c>
      <c r="E15" s="834">
        <v>2005</v>
      </c>
      <c r="F15" s="831">
        <v>3585</v>
      </c>
      <c r="G15" s="831">
        <v>2230</v>
      </c>
      <c r="H15" s="831">
        <v>3903</v>
      </c>
      <c r="I15" s="831">
        <v>795</v>
      </c>
    </row>
    <row r="16" spans="2:9" ht="20.100000000000001" customHeight="1">
      <c r="B16" s="363" t="s">
        <v>434</v>
      </c>
      <c r="C16" s="363" t="s">
        <v>643</v>
      </c>
      <c r="D16" s="24">
        <v>131</v>
      </c>
      <c r="E16" s="24">
        <v>60</v>
      </c>
      <c r="F16" s="351">
        <v>124</v>
      </c>
      <c r="G16" s="351">
        <v>55</v>
      </c>
      <c r="H16" s="351">
        <v>119</v>
      </c>
      <c r="I16" s="351">
        <v>53</v>
      </c>
    </row>
    <row r="17" spans="2:9" ht="20.100000000000001" customHeight="1">
      <c r="B17" s="365"/>
      <c r="C17" s="365" t="s">
        <v>642</v>
      </c>
      <c r="D17" s="27">
        <v>3053</v>
      </c>
      <c r="E17" s="27">
        <v>1108</v>
      </c>
      <c r="F17" s="126">
        <v>2802</v>
      </c>
      <c r="G17" s="126">
        <v>976</v>
      </c>
      <c r="H17" s="126">
        <v>2363</v>
      </c>
      <c r="I17" s="126">
        <v>814</v>
      </c>
    </row>
    <row r="18" spans="2:9" ht="20.100000000000001" customHeight="1">
      <c r="B18" s="1213" t="s">
        <v>36</v>
      </c>
      <c r="C18" s="742" t="s">
        <v>643</v>
      </c>
      <c r="D18" s="585">
        <v>13695</v>
      </c>
      <c r="E18" s="585">
        <v>1645</v>
      </c>
      <c r="F18" s="585">
        <v>13201</v>
      </c>
      <c r="G18" s="585">
        <v>1692</v>
      </c>
      <c r="H18" s="585">
        <v>11982</v>
      </c>
      <c r="I18" s="585">
        <v>1687</v>
      </c>
    </row>
    <row r="19" spans="2:9" ht="20.100000000000001" customHeight="1">
      <c r="B19" s="1214"/>
      <c r="C19" s="742" t="s">
        <v>642</v>
      </c>
      <c r="D19" s="585">
        <v>7536</v>
      </c>
      <c r="E19" s="585">
        <v>3359</v>
      </c>
      <c r="F19" s="585">
        <v>7392</v>
      </c>
      <c r="G19" s="585">
        <v>3436</v>
      </c>
      <c r="H19" s="585">
        <v>7328</v>
      </c>
      <c r="I19" s="585">
        <v>1843</v>
      </c>
    </row>
    <row r="21" spans="2:9" ht="20.100000000000001" customHeight="1">
      <c r="B21" s="833" t="s">
        <v>45</v>
      </c>
      <c r="D21" s="1217">
        <v>2014</v>
      </c>
      <c r="E21" s="1192"/>
      <c r="F21" s="1217">
        <v>2013</v>
      </c>
      <c r="G21" s="1217"/>
      <c r="H21" s="1217">
        <v>2012</v>
      </c>
      <c r="I21" s="1192"/>
    </row>
    <row r="22" spans="2:9" ht="47.1" customHeight="1">
      <c r="B22" s="1218" t="s">
        <v>646</v>
      </c>
      <c r="C22" s="1218"/>
      <c r="D22" s="832" t="s">
        <v>645</v>
      </c>
      <c r="E22" s="826" t="s">
        <v>644</v>
      </c>
      <c r="F22" s="832" t="s">
        <v>645</v>
      </c>
      <c r="G22" s="825" t="s">
        <v>644</v>
      </c>
      <c r="H22" s="832" t="s">
        <v>645</v>
      </c>
      <c r="I22" s="825" t="s">
        <v>644</v>
      </c>
    </row>
    <row r="23" spans="2:9" ht="20.100000000000001" customHeight="1">
      <c r="B23" s="363" t="s">
        <v>636</v>
      </c>
      <c r="C23" s="363" t="s">
        <v>643</v>
      </c>
      <c r="D23" s="591">
        <v>391</v>
      </c>
      <c r="E23" s="351">
        <v>136</v>
      </c>
      <c r="F23" s="591">
        <v>423</v>
      </c>
      <c r="G23" s="829">
        <v>109</v>
      </c>
      <c r="H23" s="591">
        <v>410</v>
      </c>
      <c r="I23" s="829">
        <v>111</v>
      </c>
    </row>
    <row r="24" spans="2:9" ht="20.100000000000001" customHeight="1">
      <c r="B24" s="17"/>
      <c r="C24" s="17" t="s">
        <v>642</v>
      </c>
      <c r="D24" s="831">
        <v>279</v>
      </c>
      <c r="E24" s="831">
        <v>149</v>
      </c>
      <c r="F24" s="831">
        <v>292</v>
      </c>
      <c r="G24" s="830">
        <v>87</v>
      </c>
      <c r="H24" s="831">
        <v>335</v>
      </c>
      <c r="I24" s="830">
        <v>118</v>
      </c>
    </row>
    <row r="25" spans="2:9" ht="20.100000000000001" customHeight="1">
      <c r="B25" s="363" t="s">
        <v>421</v>
      </c>
      <c r="C25" s="363" t="s">
        <v>643</v>
      </c>
      <c r="D25" s="351">
        <v>137</v>
      </c>
      <c r="E25" s="351">
        <v>31</v>
      </c>
      <c r="F25" s="351">
        <v>80</v>
      </c>
      <c r="G25" s="829">
        <v>20</v>
      </c>
      <c r="H25" s="351">
        <v>79</v>
      </c>
      <c r="I25" s="829">
        <v>18</v>
      </c>
    </row>
    <row r="26" spans="2:9" ht="20.100000000000001" customHeight="1">
      <c r="B26" s="17"/>
      <c r="C26" s="17" t="s">
        <v>642</v>
      </c>
      <c r="D26" s="831">
        <v>410</v>
      </c>
      <c r="E26" s="831">
        <v>67</v>
      </c>
      <c r="F26" s="831">
        <v>395</v>
      </c>
      <c r="G26" s="830">
        <v>44</v>
      </c>
      <c r="H26" s="831">
        <v>392</v>
      </c>
      <c r="I26" s="830">
        <v>44</v>
      </c>
    </row>
    <row r="27" spans="2:9" ht="20.100000000000001" customHeight="1">
      <c r="B27" s="363" t="s">
        <v>481</v>
      </c>
      <c r="C27" s="363" t="s">
        <v>643</v>
      </c>
      <c r="D27" s="351">
        <v>1928</v>
      </c>
      <c r="E27" s="351">
        <v>596</v>
      </c>
      <c r="F27" s="351">
        <v>1904</v>
      </c>
      <c r="G27" s="829">
        <v>593</v>
      </c>
      <c r="H27" s="351">
        <v>1851</v>
      </c>
      <c r="I27" s="829">
        <v>570</v>
      </c>
    </row>
    <row r="28" spans="2:9" ht="20.100000000000001" customHeight="1">
      <c r="B28" s="17"/>
      <c r="C28" s="17" t="s">
        <v>642</v>
      </c>
      <c r="D28" s="831">
        <v>76</v>
      </c>
      <c r="E28" s="831">
        <v>21</v>
      </c>
      <c r="F28" s="831">
        <v>74</v>
      </c>
      <c r="G28" s="830">
        <v>20</v>
      </c>
      <c r="H28" s="831">
        <v>74</v>
      </c>
      <c r="I28" s="830">
        <v>20</v>
      </c>
    </row>
    <row r="29" spans="2:9" ht="20.100000000000001" customHeight="1">
      <c r="B29" s="363" t="s">
        <v>635</v>
      </c>
      <c r="C29" s="363" t="s">
        <v>643</v>
      </c>
      <c r="D29" s="351">
        <v>5909</v>
      </c>
      <c r="E29" s="351">
        <v>378</v>
      </c>
      <c r="F29" s="351">
        <v>6648</v>
      </c>
      <c r="G29" s="829">
        <v>463</v>
      </c>
      <c r="H29" s="351">
        <v>6853</v>
      </c>
      <c r="I29" s="829">
        <v>485</v>
      </c>
    </row>
    <row r="30" spans="2:9" ht="20.100000000000001" customHeight="1">
      <c r="B30" s="17"/>
      <c r="C30" s="17" t="s">
        <v>642</v>
      </c>
      <c r="D30" s="831">
        <v>189</v>
      </c>
      <c r="E30" s="831">
        <v>48</v>
      </c>
      <c r="F30" s="831">
        <v>377</v>
      </c>
      <c r="G30" s="830">
        <v>65</v>
      </c>
      <c r="H30" s="831">
        <v>453</v>
      </c>
      <c r="I30" s="830">
        <v>78</v>
      </c>
    </row>
    <row r="31" spans="2:9" ht="20.100000000000001" customHeight="1">
      <c r="B31" s="363" t="s">
        <v>443</v>
      </c>
      <c r="C31" s="363" t="s">
        <v>643</v>
      </c>
      <c r="D31" s="351">
        <v>961</v>
      </c>
      <c r="E31" s="351">
        <v>295</v>
      </c>
      <c r="F31" s="351">
        <v>868</v>
      </c>
      <c r="G31" s="829">
        <v>266</v>
      </c>
      <c r="H31" s="351">
        <v>898</v>
      </c>
      <c r="I31" s="829">
        <v>258</v>
      </c>
    </row>
    <row r="32" spans="2:9" ht="20.100000000000001" customHeight="1">
      <c r="B32" s="17"/>
      <c r="C32" s="17" t="s">
        <v>642</v>
      </c>
      <c r="D32" s="831">
        <v>3817</v>
      </c>
      <c r="E32" s="831">
        <v>782</v>
      </c>
      <c r="F32" s="831">
        <v>3311</v>
      </c>
      <c r="G32" s="830">
        <v>634</v>
      </c>
      <c r="H32" s="831">
        <v>2892</v>
      </c>
      <c r="I32" s="830">
        <v>546</v>
      </c>
    </row>
    <row r="33" spans="2:9" ht="20.100000000000001" customHeight="1">
      <c r="B33" s="363" t="s">
        <v>434</v>
      </c>
      <c r="C33" s="363" t="s">
        <v>643</v>
      </c>
      <c r="D33" s="351">
        <v>119</v>
      </c>
      <c r="E33" s="351">
        <v>22</v>
      </c>
      <c r="F33" s="351">
        <v>129</v>
      </c>
      <c r="G33" s="829">
        <v>58</v>
      </c>
      <c r="H33" s="351">
        <v>127</v>
      </c>
      <c r="I33" s="829">
        <v>57</v>
      </c>
    </row>
    <row r="34" spans="2:9" ht="20.100000000000001" customHeight="1">
      <c r="B34" s="365"/>
      <c r="C34" s="365" t="s">
        <v>642</v>
      </c>
      <c r="D34" s="126">
        <v>2063</v>
      </c>
      <c r="E34" s="126">
        <v>665</v>
      </c>
      <c r="F34" s="126">
        <v>1905</v>
      </c>
      <c r="G34" s="828">
        <v>696</v>
      </c>
      <c r="H34" s="126">
        <v>1515</v>
      </c>
      <c r="I34" s="828">
        <v>532</v>
      </c>
    </row>
    <row r="35" spans="2:9" ht="20.100000000000001" customHeight="1">
      <c r="B35" s="1213" t="s">
        <v>36</v>
      </c>
      <c r="C35" s="742" t="s">
        <v>643</v>
      </c>
      <c r="D35" s="585">
        <v>9445</v>
      </c>
      <c r="E35" s="585">
        <v>1458</v>
      </c>
      <c r="F35" s="585">
        <v>10052</v>
      </c>
      <c r="G35" s="697">
        <v>1509</v>
      </c>
      <c r="H35" s="585">
        <v>10218</v>
      </c>
      <c r="I35" s="697">
        <v>1499</v>
      </c>
    </row>
    <row r="36" spans="2:9" ht="20.100000000000001" customHeight="1">
      <c r="B36" s="1214"/>
      <c r="C36" s="742" t="s">
        <v>642</v>
      </c>
      <c r="D36" s="585">
        <v>6834</v>
      </c>
      <c r="E36" s="585">
        <v>1732</v>
      </c>
      <c r="F36" s="585">
        <v>6354</v>
      </c>
      <c r="G36" s="697">
        <v>1546</v>
      </c>
      <c r="H36" s="585">
        <v>5661</v>
      </c>
      <c r="I36" s="697">
        <v>1338</v>
      </c>
    </row>
    <row r="37" spans="2:9" ht="39.950000000000003" customHeight="1">
      <c r="B37" s="764" t="s">
        <v>641</v>
      </c>
    </row>
  </sheetData>
  <mergeCells count="11">
    <mergeCell ref="D21:E21"/>
    <mergeCell ref="F21:G21"/>
    <mergeCell ref="H21:I21"/>
    <mergeCell ref="B22:C22"/>
    <mergeCell ref="B35:B36"/>
    <mergeCell ref="B18:B19"/>
    <mergeCell ref="B2:G2"/>
    <mergeCell ref="D4:E4"/>
    <mergeCell ref="F4:G4"/>
    <mergeCell ref="H4:I4"/>
    <mergeCell ref="B5:C5"/>
  </mergeCells>
  <pageMargins left="0.75" right="0.75" top="1" bottom="1" header="0.5" footer="0.5"/>
  <pageSetup paperSize="9" scale="65" orientation="portrait" horizontalDpi="4294967292" verticalDpi="4294967292"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52">
    <tabColor rgb="FF733E8D"/>
  </sheetPr>
  <dimension ref="B2:T43"/>
  <sheetViews>
    <sheetView showGridLines="0" view="pageBreakPreview" topLeftCell="B1" zoomScaleNormal="140" zoomScaleSheetLayoutView="100" zoomScalePageLayoutView="140" workbookViewId="0">
      <selection activeCell="B15" sqref="B15"/>
    </sheetView>
  </sheetViews>
  <sheetFormatPr defaultColWidth="10.875" defaultRowHeight="20.100000000000001" customHeight="1"/>
  <cols>
    <col min="1" max="1" width="5.5" style="468" customWidth="1"/>
    <col min="2" max="2" width="17.5" style="468" customWidth="1"/>
    <col min="3" max="3" width="21" style="468" customWidth="1"/>
    <col min="4" max="4" width="13" style="468" customWidth="1"/>
    <col min="5" max="6" width="12.875" style="468" customWidth="1"/>
    <col min="7" max="7" width="2.375" style="468" customWidth="1"/>
    <col min="8" max="8" width="13" style="468" customWidth="1"/>
    <col min="9" max="9" width="12" style="468" customWidth="1"/>
    <col min="10" max="10" width="12.375" style="468" customWidth="1"/>
    <col min="11" max="11" width="2.375" style="468" customWidth="1"/>
    <col min="12" max="12" width="13" style="468" customWidth="1"/>
    <col min="13" max="16384" width="10.875" style="468"/>
  </cols>
  <sheetData>
    <row r="2" spans="2:20" ht="20.100000000000001" customHeight="1">
      <c r="B2" s="1156" t="str">
        <f>UPPER("Number of net productive and dry wells drilled")</f>
        <v>NUMBER OF NET PRODUCTIVE AND DRY WELLS DRILLED</v>
      </c>
      <c r="C2" s="1156"/>
      <c r="D2" s="1156"/>
      <c r="E2" s="1156"/>
      <c r="F2" s="1156"/>
      <c r="G2" s="1156"/>
      <c r="H2" s="1156"/>
      <c r="I2" s="1156"/>
      <c r="J2" s="1156"/>
      <c r="K2" s="466"/>
    </row>
    <row r="4" spans="2:20" ht="20.100000000000001" customHeight="1">
      <c r="B4" s="856" t="s">
        <v>45</v>
      </c>
      <c r="D4" s="1217">
        <v>2017</v>
      </c>
      <c r="E4" s="1192"/>
      <c r="F4" s="1192"/>
      <c r="H4" s="1217">
        <v>2016</v>
      </c>
      <c r="I4" s="1192"/>
      <c r="J4" s="1192"/>
      <c r="L4" s="1217">
        <v>2015</v>
      </c>
      <c r="M4" s="1192"/>
      <c r="N4" s="1192"/>
    </row>
    <row r="5" spans="2:20" ht="39.950000000000003" customHeight="1">
      <c r="B5" s="1211" t="s">
        <v>646</v>
      </c>
      <c r="C5" s="1211"/>
      <c r="D5" s="855" t="s">
        <v>655</v>
      </c>
      <c r="E5" s="855" t="s">
        <v>654</v>
      </c>
      <c r="F5" s="855" t="s">
        <v>653</v>
      </c>
      <c r="G5" s="875"/>
      <c r="H5" s="855" t="s">
        <v>655</v>
      </c>
      <c r="I5" s="855" t="s">
        <v>654</v>
      </c>
      <c r="J5" s="855" t="s">
        <v>653</v>
      </c>
      <c r="K5" s="875"/>
      <c r="L5" s="855" t="s">
        <v>655</v>
      </c>
      <c r="M5" s="855" t="s">
        <v>654</v>
      </c>
      <c r="N5" s="855" t="s">
        <v>653</v>
      </c>
    </row>
    <row r="6" spans="2:20" ht="20.100000000000001" customHeight="1">
      <c r="B6" s="849" t="s">
        <v>652</v>
      </c>
      <c r="C6" s="363" t="s">
        <v>551</v>
      </c>
      <c r="D6" s="874">
        <v>0.1</v>
      </c>
      <c r="E6" s="873">
        <v>1.8</v>
      </c>
      <c r="F6" s="224">
        <v>1.9</v>
      </c>
      <c r="H6" s="872">
        <v>1.1000000000000001</v>
      </c>
      <c r="I6" s="871">
        <v>1</v>
      </c>
      <c r="J6" s="288">
        <v>2.1</v>
      </c>
      <c r="L6" s="872">
        <v>1</v>
      </c>
      <c r="M6" s="871">
        <v>4.5999999999999996</v>
      </c>
      <c r="N6" s="288">
        <v>5.6</v>
      </c>
    </row>
    <row r="7" spans="2:20" ht="20.100000000000001" customHeight="1">
      <c r="B7" s="849"/>
      <c r="C7" s="363" t="s">
        <v>421</v>
      </c>
      <c r="D7" s="94" t="s">
        <v>468</v>
      </c>
      <c r="E7" s="93" t="s">
        <v>468</v>
      </c>
      <c r="F7" s="224" t="s">
        <v>468</v>
      </c>
      <c r="H7" s="870" t="s">
        <v>468</v>
      </c>
      <c r="I7" s="182" t="s">
        <v>468</v>
      </c>
      <c r="J7" s="288" t="s">
        <v>468</v>
      </c>
      <c r="L7" s="870" t="s">
        <v>14</v>
      </c>
      <c r="M7" s="182" t="s">
        <v>14</v>
      </c>
      <c r="N7" s="288" t="s">
        <v>14</v>
      </c>
    </row>
    <row r="8" spans="2:20" ht="20.100000000000001" customHeight="1">
      <c r="C8" s="363" t="s">
        <v>481</v>
      </c>
      <c r="D8" s="94">
        <v>0.2</v>
      </c>
      <c r="E8" s="93">
        <v>0.5</v>
      </c>
      <c r="F8" s="224">
        <v>0.8</v>
      </c>
      <c r="H8" s="375">
        <v>0.7</v>
      </c>
      <c r="I8" s="182" t="s">
        <v>468</v>
      </c>
      <c r="J8" s="288">
        <v>0.7</v>
      </c>
      <c r="L8" s="375">
        <v>0.2</v>
      </c>
      <c r="M8" s="182">
        <v>2.1</v>
      </c>
      <c r="N8" s="288">
        <v>2.2999999999999998</v>
      </c>
    </row>
    <row r="9" spans="2:20" ht="20.100000000000001" customHeight="1">
      <c r="C9" s="363" t="s">
        <v>480</v>
      </c>
      <c r="D9" s="94">
        <v>0.6</v>
      </c>
      <c r="E9" s="93">
        <v>0.5</v>
      </c>
      <c r="F9" s="224">
        <v>1.1000000000000001</v>
      </c>
      <c r="H9" s="375">
        <v>0.8</v>
      </c>
      <c r="I9" s="182" t="s">
        <v>468</v>
      </c>
      <c r="J9" s="288">
        <v>0.8</v>
      </c>
      <c r="L9" s="375">
        <v>0.30000000000000004</v>
      </c>
      <c r="M9" s="182">
        <v>0.5</v>
      </c>
      <c r="N9" s="288">
        <v>0.8</v>
      </c>
    </row>
    <row r="10" spans="2:20" ht="20.100000000000001" customHeight="1">
      <c r="C10" s="363" t="s">
        <v>443</v>
      </c>
      <c r="D10" s="94">
        <v>1.3</v>
      </c>
      <c r="E10" s="93">
        <v>0.5</v>
      </c>
      <c r="F10" s="224">
        <v>1.7</v>
      </c>
      <c r="H10" s="375">
        <v>2.1</v>
      </c>
      <c r="I10" s="182">
        <v>0.8</v>
      </c>
      <c r="J10" s="869">
        <v>2.9</v>
      </c>
      <c r="L10" s="375">
        <v>1.4</v>
      </c>
      <c r="M10" s="182">
        <v>0.6</v>
      </c>
      <c r="N10" s="869">
        <v>2</v>
      </c>
      <c r="T10" s="655"/>
    </row>
    <row r="11" spans="2:20" ht="20.100000000000001" customHeight="1">
      <c r="C11" s="363" t="s">
        <v>434</v>
      </c>
      <c r="D11" s="867">
        <v>1.2</v>
      </c>
      <c r="E11" s="866">
        <v>0.7</v>
      </c>
      <c r="F11" s="865">
        <v>1.9</v>
      </c>
      <c r="H11" s="864">
        <v>1.5999999999999999</v>
      </c>
      <c r="I11" s="868" t="s">
        <v>468</v>
      </c>
      <c r="J11" s="861">
        <v>1.5999999999999999</v>
      </c>
      <c r="L11" s="864">
        <v>2</v>
      </c>
      <c r="M11" s="868">
        <v>0.9</v>
      </c>
      <c r="N11" s="861">
        <v>2.9</v>
      </c>
    </row>
    <row r="12" spans="2:20" ht="20.100000000000001" customHeight="1">
      <c r="B12" s="433" t="s">
        <v>650</v>
      </c>
      <c r="C12" s="433"/>
      <c r="D12" s="852">
        <v>3.4</v>
      </c>
      <c r="E12" s="851">
        <v>4</v>
      </c>
      <c r="F12" s="850">
        <v>7.4</v>
      </c>
      <c r="G12" s="469"/>
      <c r="H12" s="852">
        <v>6.3</v>
      </c>
      <c r="I12" s="851">
        <v>1.8</v>
      </c>
      <c r="J12" s="850">
        <v>8.1</v>
      </c>
      <c r="K12" s="469"/>
      <c r="L12" s="852">
        <v>4.9000000000000004</v>
      </c>
      <c r="M12" s="851">
        <v>8.6999999999999993</v>
      </c>
      <c r="N12" s="850">
        <v>13.6</v>
      </c>
    </row>
    <row r="13" spans="2:20" ht="20.100000000000001" customHeight="1">
      <c r="B13" s="849" t="s">
        <v>651</v>
      </c>
      <c r="C13" s="363" t="s">
        <v>551</v>
      </c>
      <c r="D13" s="94">
        <v>8.8000000000000007</v>
      </c>
      <c r="E13" s="93" t="s">
        <v>468</v>
      </c>
      <c r="F13" s="224">
        <v>8.8000000000000007</v>
      </c>
      <c r="H13" s="375">
        <v>13.6</v>
      </c>
      <c r="I13" s="182">
        <v>0.5</v>
      </c>
      <c r="J13" s="288">
        <v>14.1</v>
      </c>
      <c r="L13" s="375">
        <v>15.7</v>
      </c>
      <c r="M13" s="182">
        <v>0.4</v>
      </c>
      <c r="N13" s="288">
        <v>16.100000000000001</v>
      </c>
    </row>
    <row r="14" spans="2:20" ht="20.100000000000001" customHeight="1">
      <c r="B14" s="849"/>
      <c r="C14" s="363" t="s">
        <v>421</v>
      </c>
      <c r="D14" s="94">
        <v>21.5</v>
      </c>
      <c r="E14" s="93" t="s">
        <v>468</v>
      </c>
      <c r="F14" s="224">
        <v>21.5</v>
      </c>
      <c r="H14" s="375">
        <v>18.7</v>
      </c>
      <c r="I14" s="182" t="s">
        <v>468</v>
      </c>
      <c r="J14" s="288">
        <v>18.7</v>
      </c>
      <c r="L14" s="375">
        <v>22.9</v>
      </c>
      <c r="M14" s="182" t="s">
        <v>14</v>
      </c>
      <c r="N14" s="288">
        <v>22.9</v>
      </c>
    </row>
    <row r="15" spans="2:20" ht="20.100000000000001" customHeight="1">
      <c r="C15" s="363" t="s">
        <v>481</v>
      </c>
      <c r="D15" s="94">
        <v>14.4</v>
      </c>
      <c r="E15" s="93" t="s">
        <v>468</v>
      </c>
      <c r="F15" s="224">
        <v>14.4</v>
      </c>
      <c r="H15" s="375">
        <v>14.6</v>
      </c>
      <c r="I15" s="68" t="s">
        <v>468</v>
      </c>
      <c r="J15" s="288">
        <v>14.6</v>
      </c>
      <c r="L15" s="375">
        <v>21.4</v>
      </c>
      <c r="M15" s="68" t="s">
        <v>14</v>
      </c>
      <c r="N15" s="288">
        <v>21.4</v>
      </c>
    </row>
    <row r="16" spans="2:20" ht="20.100000000000001" customHeight="1">
      <c r="C16" s="363" t="s">
        <v>480</v>
      </c>
      <c r="D16" s="94">
        <v>82</v>
      </c>
      <c r="E16" s="93" t="s">
        <v>468</v>
      </c>
      <c r="F16" s="224">
        <v>82</v>
      </c>
      <c r="H16" s="375">
        <v>49.3</v>
      </c>
      <c r="I16" s="182">
        <v>1.0999999999999999</v>
      </c>
      <c r="J16" s="288">
        <v>50.4</v>
      </c>
      <c r="L16" s="375">
        <v>36.6</v>
      </c>
      <c r="M16" s="182">
        <v>0.6</v>
      </c>
      <c r="N16" s="288">
        <v>37.200000000000003</v>
      </c>
    </row>
    <row r="17" spans="2:14" ht="20.100000000000001" customHeight="1">
      <c r="C17" s="363" t="s">
        <v>443</v>
      </c>
      <c r="D17" s="94">
        <v>29.2</v>
      </c>
      <c r="E17" s="93">
        <v>0.5</v>
      </c>
      <c r="F17" s="224">
        <v>29.7</v>
      </c>
      <c r="H17" s="375">
        <v>35.4</v>
      </c>
      <c r="I17" s="182" t="s">
        <v>468</v>
      </c>
      <c r="J17" s="288">
        <v>35.4</v>
      </c>
      <c r="L17" s="375">
        <v>60.6</v>
      </c>
      <c r="M17" s="182">
        <v>0.1</v>
      </c>
      <c r="N17" s="288">
        <v>60.7</v>
      </c>
    </row>
    <row r="18" spans="2:14" ht="20.100000000000001" customHeight="1">
      <c r="C18" s="363" t="s">
        <v>434</v>
      </c>
      <c r="D18" s="867">
        <v>132.4</v>
      </c>
      <c r="E18" s="866" t="s">
        <v>468</v>
      </c>
      <c r="F18" s="865">
        <v>132.4</v>
      </c>
      <c r="H18" s="864">
        <v>151</v>
      </c>
      <c r="I18" s="863" t="s">
        <v>468</v>
      </c>
      <c r="J18" s="862">
        <v>151</v>
      </c>
      <c r="L18" s="316">
        <v>86.9</v>
      </c>
      <c r="M18" s="846" t="s">
        <v>14</v>
      </c>
      <c r="N18" s="861">
        <v>86.9</v>
      </c>
    </row>
    <row r="19" spans="2:14" ht="20.100000000000001" customHeight="1">
      <c r="B19" s="433" t="s">
        <v>650</v>
      </c>
      <c r="C19" s="433"/>
      <c r="D19" s="860">
        <v>288.3</v>
      </c>
      <c r="E19" s="859">
        <v>0.5</v>
      </c>
      <c r="F19" s="859">
        <v>288.8</v>
      </c>
      <c r="G19" s="469"/>
      <c r="H19" s="842">
        <v>282.60000000000002</v>
      </c>
      <c r="I19" s="841">
        <v>1.5999999999999999</v>
      </c>
      <c r="J19" s="840">
        <v>284.2</v>
      </c>
      <c r="K19" s="469"/>
      <c r="L19" s="842">
        <v>244.1</v>
      </c>
      <c r="M19" s="841">
        <v>1.0999999999999999</v>
      </c>
      <c r="N19" s="840">
        <v>245.20000000000002</v>
      </c>
    </row>
    <row r="20" spans="2:14" ht="20.100000000000001" customHeight="1">
      <c r="B20" s="743" t="s">
        <v>36</v>
      </c>
      <c r="C20" s="743"/>
      <c r="D20" s="858">
        <v>291.7</v>
      </c>
      <c r="E20" s="857">
        <v>4.5</v>
      </c>
      <c r="F20" s="857">
        <v>296.2</v>
      </c>
      <c r="H20" s="839">
        <v>288.89999999999998</v>
      </c>
      <c r="I20" s="838">
        <v>3.4</v>
      </c>
      <c r="J20" s="837">
        <v>292.3</v>
      </c>
      <c r="L20" s="839">
        <v>249</v>
      </c>
      <c r="M20" s="838">
        <v>9.8000000000000007</v>
      </c>
      <c r="N20" s="837">
        <v>258.8</v>
      </c>
    </row>
    <row r="22" spans="2:14" ht="20.100000000000001" customHeight="1">
      <c r="B22" s="856" t="s">
        <v>45</v>
      </c>
      <c r="D22" s="1217">
        <v>2014</v>
      </c>
      <c r="E22" s="1192"/>
      <c r="F22" s="1192"/>
      <c r="H22" s="1217">
        <v>2013</v>
      </c>
      <c r="I22" s="1192"/>
      <c r="J22" s="1192"/>
      <c r="L22" s="1217">
        <v>2012</v>
      </c>
      <c r="M22" s="1192"/>
      <c r="N22" s="1192"/>
    </row>
    <row r="23" spans="2:14" ht="39.75" customHeight="1">
      <c r="B23" s="1211" t="s">
        <v>646</v>
      </c>
      <c r="C23" s="1211"/>
      <c r="D23" s="855" t="s">
        <v>655</v>
      </c>
      <c r="E23" s="855" t="s">
        <v>654</v>
      </c>
      <c r="F23" s="855" t="s">
        <v>653</v>
      </c>
      <c r="H23" s="855" t="s">
        <v>655</v>
      </c>
      <c r="I23" s="855" t="s">
        <v>654</v>
      </c>
      <c r="J23" s="855" t="s">
        <v>653</v>
      </c>
      <c r="L23" s="855" t="s">
        <v>655</v>
      </c>
      <c r="M23" s="855" t="s">
        <v>654</v>
      </c>
      <c r="N23" s="855" t="s">
        <v>653</v>
      </c>
    </row>
    <row r="24" spans="2:14" ht="20.100000000000001" customHeight="1">
      <c r="B24" s="849" t="s">
        <v>652</v>
      </c>
      <c r="C24" s="363" t="s">
        <v>551</v>
      </c>
      <c r="D24" s="854">
        <v>1.4</v>
      </c>
      <c r="E24" s="853">
        <v>0.2</v>
      </c>
      <c r="F24" s="848">
        <v>1.6</v>
      </c>
      <c r="H24" s="854">
        <v>1.5</v>
      </c>
      <c r="I24" s="853">
        <v>0.2</v>
      </c>
      <c r="J24" s="848">
        <v>1.7</v>
      </c>
      <c r="L24" s="854">
        <v>0.9</v>
      </c>
      <c r="M24" s="853">
        <v>3.3</v>
      </c>
      <c r="N24" s="848">
        <v>4.2</v>
      </c>
    </row>
    <row r="25" spans="2:14" ht="20.100000000000001" customHeight="1">
      <c r="C25" s="363" t="s">
        <v>421</v>
      </c>
      <c r="D25" s="67" t="s">
        <v>14</v>
      </c>
      <c r="E25" s="68">
        <v>0.3</v>
      </c>
      <c r="F25" s="848">
        <v>0.3</v>
      </c>
      <c r="H25" s="67" t="s">
        <v>14</v>
      </c>
      <c r="I25" s="68" t="s">
        <v>14</v>
      </c>
      <c r="J25" s="848" t="s">
        <v>14</v>
      </c>
      <c r="L25" s="67" t="s">
        <v>14</v>
      </c>
      <c r="M25" s="68" t="s">
        <v>14</v>
      </c>
      <c r="N25" s="848" t="s">
        <v>14</v>
      </c>
    </row>
    <row r="26" spans="2:14" ht="20.100000000000001" customHeight="1">
      <c r="C26" s="363" t="s">
        <v>481</v>
      </c>
      <c r="D26" s="67">
        <v>1.7</v>
      </c>
      <c r="E26" s="68">
        <v>2.2999999999999998</v>
      </c>
      <c r="F26" s="848">
        <v>3.9999999999999996</v>
      </c>
      <c r="H26" s="67">
        <v>1.2</v>
      </c>
      <c r="I26" s="68">
        <v>4</v>
      </c>
      <c r="J26" s="848">
        <v>5.2</v>
      </c>
      <c r="L26" s="67">
        <v>4.9000000000000004</v>
      </c>
      <c r="M26" s="68">
        <v>2.8</v>
      </c>
      <c r="N26" s="848">
        <v>7.7</v>
      </c>
    </row>
    <row r="27" spans="2:14" ht="20.100000000000001" customHeight="1">
      <c r="C27" s="363" t="s">
        <v>480</v>
      </c>
      <c r="D27" s="67">
        <v>0.6</v>
      </c>
      <c r="E27" s="68">
        <v>1.3</v>
      </c>
      <c r="F27" s="848">
        <v>1.9</v>
      </c>
      <c r="H27" s="67">
        <v>0.9</v>
      </c>
      <c r="I27" s="68">
        <v>1.8</v>
      </c>
      <c r="J27" s="848">
        <v>2.7</v>
      </c>
      <c r="L27" s="67" t="s">
        <v>14</v>
      </c>
      <c r="M27" s="68" t="s">
        <v>14</v>
      </c>
      <c r="N27" s="848" t="s">
        <v>14</v>
      </c>
    </row>
    <row r="28" spans="2:14" ht="20.100000000000001" customHeight="1">
      <c r="C28" s="363" t="s">
        <v>443</v>
      </c>
      <c r="D28" s="67">
        <v>2.1</v>
      </c>
      <c r="E28" s="68">
        <v>0.30000000000000004</v>
      </c>
      <c r="F28" s="848">
        <v>2.4</v>
      </c>
      <c r="H28" s="67">
        <v>2.9</v>
      </c>
      <c r="I28" s="68">
        <v>1.4</v>
      </c>
      <c r="J28" s="848">
        <v>4.3</v>
      </c>
      <c r="L28" s="67">
        <v>3.9</v>
      </c>
      <c r="M28" s="68">
        <v>0.6</v>
      </c>
      <c r="N28" s="848">
        <v>4.5</v>
      </c>
    </row>
    <row r="29" spans="2:14" ht="20.100000000000001" customHeight="1">
      <c r="C29" s="363" t="s">
        <v>434</v>
      </c>
      <c r="D29" s="847">
        <v>1.2</v>
      </c>
      <c r="E29" s="846">
        <v>1.1000000000000001</v>
      </c>
      <c r="F29" s="845">
        <v>2.2999999999999998</v>
      </c>
      <c r="H29" s="847">
        <v>1.5999999999999999</v>
      </c>
      <c r="I29" s="846">
        <v>4.3</v>
      </c>
      <c r="J29" s="845">
        <v>5.9</v>
      </c>
      <c r="L29" s="844">
        <v>2.4</v>
      </c>
      <c r="M29" s="844">
        <v>1.4</v>
      </c>
      <c r="N29" s="844">
        <v>3.8</v>
      </c>
    </row>
    <row r="30" spans="2:14" ht="20.100000000000001" customHeight="1">
      <c r="B30" s="433" t="s">
        <v>650</v>
      </c>
      <c r="C30" s="433"/>
      <c r="D30" s="852">
        <v>7</v>
      </c>
      <c r="E30" s="851">
        <v>5.5</v>
      </c>
      <c r="F30" s="850">
        <v>12.5</v>
      </c>
      <c r="G30" s="843"/>
      <c r="H30" s="852">
        <v>8.1</v>
      </c>
      <c r="I30" s="851">
        <v>11.7</v>
      </c>
      <c r="J30" s="850">
        <v>19.8</v>
      </c>
      <c r="K30" s="843"/>
      <c r="L30" s="852">
        <v>12.1</v>
      </c>
      <c r="M30" s="851">
        <v>8.1</v>
      </c>
      <c r="N30" s="850">
        <v>20.2</v>
      </c>
    </row>
    <row r="31" spans="2:14" ht="20.100000000000001" customHeight="1">
      <c r="B31" s="849" t="s">
        <v>651</v>
      </c>
      <c r="C31" s="363" t="s">
        <v>551</v>
      </c>
      <c r="D31" s="67">
        <v>9</v>
      </c>
      <c r="E31" s="68" t="s">
        <v>14</v>
      </c>
      <c r="F31" s="848">
        <v>9</v>
      </c>
      <c r="H31" s="67">
        <v>7</v>
      </c>
      <c r="I31" s="68">
        <v>0.3</v>
      </c>
      <c r="J31" s="848">
        <v>7.3</v>
      </c>
      <c r="L31" s="67">
        <v>6.2</v>
      </c>
      <c r="M31" s="68">
        <v>0.7</v>
      </c>
      <c r="N31" s="848">
        <v>6.9</v>
      </c>
    </row>
    <row r="32" spans="2:14" ht="20.100000000000001" customHeight="1">
      <c r="C32" s="363" t="s">
        <v>421</v>
      </c>
      <c r="D32" s="67">
        <v>28.8</v>
      </c>
      <c r="E32" s="68">
        <v>0.8</v>
      </c>
      <c r="F32" s="848">
        <v>29.6</v>
      </c>
      <c r="H32" s="67">
        <v>6.3</v>
      </c>
      <c r="I32" s="68" t="s">
        <v>14</v>
      </c>
      <c r="J32" s="848">
        <v>6.3</v>
      </c>
      <c r="L32" s="67">
        <v>0.4</v>
      </c>
      <c r="M32" s="68" t="s">
        <v>14</v>
      </c>
      <c r="N32" s="848">
        <v>0.4</v>
      </c>
    </row>
    <row r="33" spans="2:14" ht="20.100000000000001" customHeight="1">
      <c r="C33" s="363" t="s">
        <v>481</v>
      </c>
      <c r="D33" s="67">
        <v>24.1</v>
      </c>
      <c r="E33" s="68">
        <v>1</v>
      </c>
      <c r="F33" s="848">
        <v>25.1</v>
      </c>
      <c r="H33" s="67">
        <v>19.3</v>
      </c>
      <c r="I33" s="68">
        <v>0.4</v>
      </c>
      <c r="J33" s="848">
        <v>19.7</v>
      </c>
      <c r="L33" s="67">
        <v>21.6</v>
      </c>
      <c r="M33" s="68" t="s">
        <v>14</v>
      </c>
      <c r="N33" s="848">
        <v>21.6</v>
      </c>
    </row>
    <row r="34" spans="2:14" ht="20.100000000000001" customHeight="1">
      <c r="C34" s="363" t="s">
        <v>480</v>
      </c>
      <c r="D34" s="67">
        <v>36.6</v>
      </c>
      <c r="E34" s="68">
        <v>0.2</v>
      </c>
      <c r="F34" s="848">
        <v>36.799999999999997</v>
      </c>
      <c r="H34" s="67">
        <v>43.1</v>
      </c>
      <c r="I34" s="68">
        <v>0.3</v>
      </c>
      <c r="J34" s="848">
        <v>43.4</v>
      </c>
      <c r="L34" s="67">
        <v>44.4</v>
      </c>
      <c r="M34" s="68" t="s">
        <v>14</v>
      </c>
      <c r="N34" s="848">
        <v>44.4</v>
      </c>
    </row>
    <row r="35" spans="2:14" ht="20.100000000000001" customHeight="1">
      <c r="C35" s="363" t="s">
        <v>443</v>
      </c>
      <c r="D35" s="67">
        <v>128.1</v>
      </c>
      <c r="E35" s="68">
        <v>0.19999999999999998</v>
      </c>
      <c r="F35" s="848">
        <v>128.30000000000001</v>
      </c>
      <c r="H35" s="67">
        <v>98</v>
      </c>
      <c r="I35" s="68" t="s">
        <v>14</v>
      </c>
      <c r="J35" s="848">
        <v>98</v>
      </c>
      <c r="L35" s="67">
        <v>70.599999999999994</v>
      </c>
      <c r="M35" s="68" t="s">
        <v>14</v>
      </c>
      <c r="N35" s="848">
        <v>70.599999999999994</v>
      </c>
    </row>
    <row r="36" spans="2:14" ht="20.100000000000001" customHeight="1">
      <c r="C36" s="363" t="s">
        <v>434</v>
      </c>
      <c r="D36" s="847">
        <v>106</v>
      </c>
      <c r="E36" s="846">
        <v>0.5</v>
      </c>
      <c r="F36" s="845">
        <v>106.5</v>
      </c>
      <c r="H36" s="847">
        <v>191.6</v>
      </c>
      <c r="I36" s="846" t="s">
        <v>14</v>
      </c>
      <c r="J36" s="845">
        <v>191.6</v>
      </c>
      <c r="L36" s="844">
        <v>127.2</v>
      </c>
      <c r="M36" s="844" t="s">
        <v>14</v>
      </c>
      <c r="N36" s="844">
        <v>127.2</v>
      </c>
    </row>
    <row r="37" spans="2:14" ht="20.100000000000001" customHeight="1">
      <c r="B37" s="433" t="s">
        <v>650</v>
      </c>
      <c r="C37" s="433"/>
      <c r="D37" s="842">
        <v>332.6</v>
      </c>
      <c r="E37" s="841">
        <v>2.7</v>
      </c>
      <c r="F37" s="840">
        <v>335.3</v>
      </c>
      <c r="G37" s="843"/>
      <c r="H37" s="842">
        <v>365.3</v>
      </c>
      <c r="I37" s="841">
        <v>1</v>
      </c>
      <c r="J37" s="840">
        <v>366.3</v>
      </c>
      <c r="K37" s="843"/>
      <c r="L37" s="842">
        <v>270.39999999999998</v>
      </c>
      <c r="M37" s="841">
        <v>0.7</v>
      </c>
      <c r="N37" s="840">
        <v>271.10000000000002</v>
      </c>
    </row>
    <row r="38" spans="2:14" ht="20.100000000000001" customHeight="1">
      <c r="B38" s="743" t="s">
        <v>36</v>
      </c>
      <c r="C38" s="743"/>
      <c r="D38" s="839">
        <v>339.6</v>
      </c>
      <c r="E38" s="838">
        <v>8.1999999999999993</v>
      </c>
      <c r="F38" s="837">
        <v>347.8</v>
      </c>
      <c r="H38" s="839">
        <v>373.4</v>
      </c>
      <c r="I38" s="838">
        <v>12.7</v>
      </c>
      <c r="J38" s="837">
        <v>386.1</v>
      </c>
      <c r="L38" s="839">
        <v>282.5</v>
      </c>
      <c r="M38" s="838">
        <v>8.8000000000000007</v>
      </c>
      <c r="N38" s="837">
        <v>291.3</v>
      </c>
    </row>
    <row r="40" spans="2:14" ht="20.100000000000001" customHeight="1">
      <c r="B40" s="1189" t="s">
        <v>649</v>
      </c>
      <c r="C40" s="1188"/>
      <c r="D40" s="1188"/>
      <c r="E40" s="1188"/>
      <c r="F40" s="1188"/>
      <c r="G40" s="1188"/>
      <c r="H40" s="1188"/>
      <c r="I40" s="1188"/>
      <c r="J40" s="1188"/>
      <c r="K40" s="655"/>
    </row>
    <row r="41" spans="2:14" ht="20.100000000000001" customHeight="1">
      <c r="B41" s="1188" t="s">
        <v>648</v>
      </c>
      <c r="C41" s="1188"/>
      <c r="D41" s="1188"/>
      <c r="E41" s="1188"/>
      <c r="F41" s="1188"/>
      <c r="G41" s="1188"/>
      <c r="H41" s="1188"/>
      <c r="I41" s="1188"/>
      <c r="J41" s="1188"/>
      <c r="K41" s="655"/>
    </row>
    <row r="42" spans="2:14" ht="20.100000000000001" customHeight="1">
      <c r="B42" s="1188" t="s">
        <v>647</v>
      </c>
      <c r="C42" s="1188"/>
      <c r="D42" s="1188"/>
      <c r="E42" s="1188"/>
      <c r="F42" s="1188"/>
      <c r="G42" s="1188"/>
      <c r="H42" s="1188"/>
      <c r="I42" s="1188"/>
      <c r="J42" s="1188"/>
      <c r="K42" s="655"/>
    </row>
    <row r="43" spans="2:14" ht="20.100000000000001" customHeight="1">
      <c r="B43" s="1200"/>
      <c r="C43" s="1200"/>
      <c r="D43" s="1200"/>
      <c r="E43" s="1200"/>
      <c r="F43" s="1200"/>
      <c r="G43" s="1200"/>
      <c r="H43" s="1200"/>
      <c r="I43" s="1200"/>
      <c r="J43" s="1200"/>
      <c r="K43" s="836"/>
    </row>
  </sheetData>
  <mergeCells count="13">
    <mergeCell ref="B23:C23"/>
    <mergeCell ref="B40:J40"/>
    <mergeCell ref="B41:J41"/>
    <mergeCell ref="B42:J42"/>
    <mergeCell ref="B43:J43"/>
    <mergeCell ref="D22:F22"/>
    <mergeCell ref="H22:J22"/>
    <mergeCell ref="L22:N22"/>
    <mergeCell ref="B2:J2"/>
    <mergeCell ref="D4:F4"/>
    <mergeCell ref="H4:J4"/>
    <mergeCell ref="L4:N4"/>
    <mergeCell ref="B5:C5"/>
  </mergeCells>
  <pageMargins left="0.75" right="0.75" top="1" bottom="1" header="0.5" footer="0.5"/>
  <pageSetup paperSize="9" scale="49" orientation="portrait" horizontalDpi="4294967292" verticalDpi="4294967292"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53">
    <tabColor rgb="FF733E8D"/>
  </sheetPr>
  <dimension ref="B2:J63"/>
  <sheetViews>
    <sheetView showGridLines="0" view="pageBreakPreview" zoomScaleNormal="140" zoomScaleSheetLayoutView="100" zoomScalePageLayoutView="140" workbookViewId="0">
      <pane xSplit="36330" topLeftCell="O1"/>
      <selection pane="topRight" activeCell="B15" sqref="B15"/>
    </sheetView>
  </sheetViews>
  <sheetFormatPr defaultColWidth="10.875" defaultRowHeight="20.100000000000001" customHeight="1"/>
  <cols>
    <col min="1" max="1" width="5.5" style="468" customWidth="1"/>
    <col min="2" max="2" width="39.375" style="468" customWidth="1"/>
    <col min="3" max="16384" width="10.875" style="468"/>
  </cols>
  <sheetData>
    <row r="2" spans="2:10" ht="33" customHeight="1">
      <c r="B2" s="1206" t="s">
        <v>673</v>
      </c>
      <c r="C2" s="1206"/>
      <c r="D2" s="1206"/>
      <c r="E2" s="1206"/>
      <c r="F2" s="1206"/>
    </row>
    <row r="4" spans="2:10" ht="20.100000000000001" customHeight="1">
      <c r="B4" s="833" t="s">
        <v>45</v>
      </c>
      <c r="C4" s="1209">
        <v>2017</v>
      </c>
      <c r="D4" s="1209"/>
      <c r="E4" s="1209">
        <v>2016</v>
      </c>
      <c r="F4" s="1209"/>
      <c r="G4" s="1209">
        <v>2015</v>
      </c>
      <c r="H4" s="1209"/>
      <c r="I4" s="1159"/>
      <c r="J4" s="1159"/>
    </row>
    <row r="5" spans="2:10" ht="20.100000000000001" customHeight="1">
      <c r="B5" s="893" t="s">
        <v>646</v>
      </c>
      <c r="C5" s="592" t="s">
        <v>633</v>
      </c>
      <c r="D5" s="892" t="s">
        <v>659</v>
      </c>
      <c r="E5" s="592" t="s">
        <v>633</v>
      </c>
      <c r="F5" s="892" t="s">
        <v>659</v>
      </c>
      <c r="G5" s="592" t="s">
        <v>633</v>
      </c>
      <c r="H5" s="892" t="s">
        <v>659</v>
      </c>
    </row>
    <row r="6" spans="2:10" ht="20.100000000000001" customHeight="1">
      <c r="B6" s="637" t="s">
        <v>652</v>
      </c>
      <c r="C6" s="889"/>
      <c r="D6" s="890"/>
      <c r="E6" s="889"/>
      <c r="F6" s="890"/>
      <c r="G6" s="889"/>
      <c r="H6" s="890"/>
    </row>
    <row r="7" spans="2:10" ht="20.100000000000001" customHeight="1">
      <c r="B7" s="363" t="s">
        <v>551</v>
      </c>
      <c r="C7" s="24">
        <v>6</v>
      </c>
      <c r="D7" s="93" t="s">
        <v>670</v>
      </c>
      <c r="E7" s="351">
        <v>4</v>
      </c>
      <c r="F7" s="182">
        <v>0.9</v>
      </c>
      <c r="G7" s="351">
        <v>9</v>
      </c>
      <c r="H7" s="182">
        <v>2.5</v>
      </c>
    </row>
    <row r="8" spans="2:10" ht="20.100000000000001" customHeight="1">
      <c r="B8" s="363" t="s">
        <v>421</v>
      </c>
      <c r="C8" s="24" t="s">
        <v>468</v>
      </c>
      <c r="D8" s="93" t="s">
        <v>468</v>
      </c>
      <c r="E8" s="351" t="s">
        <v>468</v>
      </c>
      <c r="F8" s="182" t="s">
        <v>468</v>
      </c>
      <c r="G8" s="351" t="s">
        <v>14</v>
      </c>
      <c r="H8" s="182" t="s">
        <v>14</v>
      </c>
    </row>
    <row r="9" spans="2:10" ht="20.100000000000001" customHeight="1">
      <c r="B9" s="363" t="s">
        <v>481</v>
      </c>
      <c r="C9" s="24">
        <v>19</v>
      </c>
      <c r="D9" s="93" t="s">
        <v>672</v>
      </c>
      <c r="E9" s="351">
        <v>18</v>
      </c>
      <c r="F9" s="182">
        <v>4.5999999999999996</v>
      </c>
      <c r="G9" s="351">
        <v>24</v>
      </c>
      <c r="H9" s="182">
        <v>6.6</v>
      </c>
    </row>
    <row r="10" spans="2:10" ht="20.100000000000001" customHeight="1">
      <c r="B10" s="363" t="s">
        <v>480</v>
      </c>
      <c r="C10" s="24">
        <v>2</v>
      </c>
      <c r="D10" s="93">
        <v>0</v>
      </c>
      <c r="E10" s="351">
        <v>2</v>
      </c>
      <c r="F10" s="182">
        <v>0.8</v>
      </c>
      <c r="G10" s="351">
        <v>9</v>
      </c>
      <c r="H10" s="182">
        <v>3.2</v>
      </c>
    </row>
    <row r="11" spans="2:10" ht="20.100000000000001" customHeight="1">
      <c r="B11" s="363" t="s">
        <v>443</v>
      </c>
      <c r="C11" s="24">
        <v>8</v>
      </c>
      <c r="D11" s="93" t="s">
        <v>671</v>
      </c>
      <c r="E11" s="351">
        <v>10</v>
      </c>
      <c r="F11" s="182">
        <v>3.5</v>
      </c>
      <c r="G11" s="351">
        <v>14</v>
      </c>
      <c r="H11" s="182">
        <v>4.5999999999999996</v>
      </c>
    </row>
    <row r="12" spans="2:10" ht="20.100000000000001" customHeight="1">
      <c r="B12" s="363" t="s">
        <v>434</v>
      </c>
      <c r="C12" s="27">
        <v>5</v>
      </c>
      <c r="D12" s="866" t="s">
        <v>670</v>
      </c>
      <c r="E12" s="126">
        <v>5</v>
      </c>
      <c r="F12" s="868">
        <v>1.3</v>
      </c>
      <c r="G12" s="126">
        <v>7</v>
      </c>
      <c r="H12" s="868">
        <v>2.5</v>
      </c>
    </row>
    <row r="13" spans="2:10" ht="20.100000000000001" customHeight="1">
      <c r="B13" s="433" t="s">
        <v>650</v>
      </c>
      <c r="C13" s="432">
        <v>40</v>
      </c>
      <c r="D13" s="859" t="s">
        <v>669</v>
      </c>
      <c r="E13" s="432">
        <v>39</v>
      </c>
      <c r="F13" s="859">
        <v>11.1</v>
      </c>
      <c r="G13" s="432">
        <v>63</v>
      </c>
      <c r="H13" s="859">
        <v>19.399999999999999</v>
      </c>
    </row>
    <row r="14" spans="2:10" ht="20.100000000000001" customHeight="1">
      <c r="B14" s="637" t="s">
        <v>668</v>
      </c>
      <c r="C14" s="791"/>
      <c r="D14" s="884"/>
      <c r="E14" s="883"/>
      <c r="F14" s="895"/>
      <c r="G14" s="883"/>
      <c r="H14" s="895"/>
    </row>
    <row r="15" spans="2:10" ht="20.100000000000001" customHeight="1">
      <c r="B15" s="363" t="s">
        <v>551</v>
      </c>
      <c r="C15" s="24">
        <v>16</v>
      </c>
      <c r="D15" s="93" t="s">
        <v>667</v>
      </c>
      <c r="E15" s="351">
        <v>45</v>
      </c>
      <c r="F15" s="182">
        <v>11.8</v>
      </c>
      <c r="G15" s="351">
        <v>59</v>
      </c>
      <c r="H15" s="182">
        <v>17.2</v>
      </c>
    </row>
    <row r="16" spans="2:10" ht="20.100000000000001" customHeight="1">
      <c r="B16" s="363" t="s">
        <v>421</v>
      </c>
      <c r="C16" s="24">
        <v>61</v>
      </c>
      <c r="D16" s="93" t="s">
        <v>666</v>
      </c>
      <c r="E16" s="351">
        <v>111</v>
      </c>
      <c r="F16" s="182">
        <v>27.9</v>
      </c>
      <c r="G16" s="351">
        <v>113</v>
      </c>
      <c r="H16" s="182">
        <v>17.399999999999999</v>
      </c>
    </row>
    <row r="17" spans="2:8" ht="20.100000000000001" customHeight="1">
      <c r="B17" s="363" t="s">
        <v>481</v>
      </c>
      <c r="C17" s="24">
        <v>67</v>
      </c>
      <c r="D17" s="93" t="s">
        <v>665</v>
      </c>
      <c r="E17" s="351">
        <v>72</v>
      </c>
      <c r="F17" s="182">
        <v>21.3</v>
      </c>
      <c r="G17" s="351">
        <v>56</v>
      </c>
      <c r="H17" s="182">
        <v>14.9</v>
      </c>
    </row>
    <row r="18" spans="2:8" ht="20.100000000000001" customHeight="1">
      <c r="B18" s="363" t="s">
        <v>480</v>
      </c>
      <c r="C18" s="24">
        <v>200</v>
      </c>
      <c r="D18" s="93" t="s">
        <v>664</v>
      </c>
      <c r="E18" s="351">
        <v>174</v>
      </c>
      <c r="F18" s="182">
        <v>25.2</v>
      </c>
      <c r="G18" s="351">
        <v>158</v>
      </c>
      <c r="H18" s="182">
        <v>20.5</v>
      </c>
    </row>
    <row r="19" spans="2:8" ht="20.100000000000001" customHeight="1">
      <c r="B19" s="363" t="s">
        <v>443</v>
      </c>
      <c r="C19" s="24">
        <v>44</v>
      </c>
      <c r="D19" s="93" t="s">
        <v>663</v>
      </c>
      <c r="E19" s="351">
        <v>46</v>
      </c>
      <c r="F19" s="894">
        <v>28</v>
      </c>
      <c r="G19" s="351">
        <v>63</v>
      </c>
      <c r="H19" s="182">
        <v>22.4</v>
      </c>
    </row>
    <row r="20" spans="2:8" ht="20.100000000000001" customHeight="1">
      <c r="B20" s="363" t="s">
        <v>434</v>
      </c>
      <c r="C20" s="27">
        <v>809</v>
      </c>
      <c r="D20" s="866" t="s">
        <v>662</v>
      </c>
      <c r="E20" s="126">
        <v>421</v>
      </c>
      <c r="F20" s="868">
        <v>116.7</v>
      </c>
      <c r="G20" s="126">
        <v>621</v>
      </c>
      <c r="H20" s="868">
        <v>188.1</v>
      </c>
    </row>
    <row r="21" spans="2:8" ht="20.100000000000001" customHeight="1">
      <c r="B21" s="433" t="s">
        <v>650</v>
      </c>
      <c r="C21" s="432">
        <v>1197</v>
      </c>
      <c r="D21" s="859" t="s">
        <v>661</v>
      </c>
      <c r="E21" s="432">
        <v>869</v>
      </c>
      <c r="F21" s="859">
        <v>230.9</v>
      </c>
      <c r="G21" s="432">
        <v>1070</v>
      </c>
      <c r="H21" s="859">
        <v>280.5</v>
      </c>
    </row>
    <row r="22" spans="2:8" ht="20.100000000000001" customHeight="1">
      <c r="B22" s="743" t="s">
        <v>36</v>
      </c>
      <c r="C22" s="794">
        <v>1237</v>
      </c>
      <c r="D22" s="857" t="s">
        <v>660</v>
      </c>
      <c r="E22" s="794">
        <v>908</v>
      </c>
      <c r="F22" s="857">
        <v>242</v>
      </c>
      <c r="G22" s="794">
        <v>1133</v>
      </c>
      <c r="H22" s="857">
        <v>299.89999999999998</v>
      </c>
    </row>
    <row r="24" spans="2:8" ht="20.100000000000001" customHeight="1">
      <c r="B24" s="833" t="s">
        <v>640</v>
      </c>
      <c r="C24" s="1209">
        <v>2014</v>
      </c>
      <c r="D24" s="1209"/>
      <c r="E24" s="1219">
        <v>2013</v>
      </c>
      <c r="F24" s="1219"/>
      <c r="G24" s="1209">
        <v>2012</v>
      </c>
      <c r="H24" s="1209"/>
    </row>
    <row r="25" spans="2:8" ht="20.100000000000001" customHeight="1">
      <c r="B25" s="893" t="s">
        <v>646</v>
      </c>
      <c r="C25" s="592" t="s">
        <v>633</v>
      </c>
      <c r="D25" s="892" t="s">
        <v>659</v>
      </c>
      <c r="E25" s="592" t="s">
        <v>633</v>
      </c>
      <c r="F25" s="891" t="s">
        <v>659</v>
      </c>
      <c r="G25" s="592" t="s">
        <v>633</v>
      </c>
      <c r="H25" s="891" t="s">
        <v>659</v>
      </c>
    </row>
    <row r="26" spans="2:8" ht="20.100000000000001" customHeight="1">
      <c r="B26" s="637" t="s">
        <v>652</v>
      </c>
      <c r="C26" s="889"/>
      <c r="D26" s="890"/>
      <c r="E26" s="889"/>
      <c r="F26" s="888"/>
      <c r="G26" s="889"/>
      <c r="H26" s="888"/>
    </row>
    <row r="27" spans="2:8" ht="20.100000000000001" customHeight="1">
      <c r="B27" s="363" t="s">
        <v>551</v>
      </c>
      <c r="C27" s="887">
        <v>11</v>
      </c>
      <c r="D27" s="886">
        <v>3.2</v>
      </c>
      <c r="E27" s="351">
        <v>9</v>
      </c>
      <c r="F27" s="880">
        <v>2.8</v>
      </c>
      <c r="G27" s="351">
        <v>1</v>
      </c>
      <c r="H27" s="880">
        <v>1</v>
      </c>
    </row>
    <row r="28" spans="2:8" ht="20.100000000000001" customHeight="1">
      <c r="B28" s="363" t="s">
        <v>421</v>
      </c>
      <c r="C28" s="358" t="s">
        <v>14</v>
      </c>
      <c r="D28" s="881" t="s">
        <v>14</v>
      </c>
      <c r="E28" s="351">
        <v>2</v>
      </c>
      <c r="F28" s="880">
        <v>0.7</v>
      </c>
      <c r="G28" s="351" t="s">
        <v>14</v>
      </c>
      <c r="H28" s="880" t="s">
        <v>14</v>
      </c>
    </row>
    <row r="29" spans="2:8" ht="20.100000000000001" customHeight="1">
      <c r="B29" s="363" t="s">
        <v>481</v>
      </c>
      <c r="C29" s="358">
        <v>28</v>
      </c>
      <c r="D29" s="881">
        <v>7.3</v>
      </c>
      <c r="E29" s="351">
        <v>28</v>
      </c>
      <c r="F29" s="880">
        <v>7.8</v>
      </c>
      <c r="G29" s="351">
        <v>4</v>
      </c>
      <c r="H29" s="880">
        <v>1.3</v>
      </c>
    </row>
    <row r="30" spans="2:8" ht="20.100000000000001" customHeight="1">
      <c r="B30" s="363" t="s">
        <v>480</v>
      </c>
      <c r="C30" s="358">
        <v>17</v>
      </c>
      <c r="D30" s="881">
        <v>6.5</v>
      </c>
      <c r="E30" s="351">
        <v>13</v>
      </c>
      <c r="F30" s="880">
        <v>5.6</v>
      </c>
      <c r="G30" s="351">
        <v>2</v>
      </c>
      <c r="H30" s="880">
        <v>1.1000000000000001</v>
      </c>
    </row>
    <row r="31" spans="2:8" ht="20.100000000000001" customHeight="1">
      <c r="B31" s="363" t="s">
        <v>443</v>
      </c>
      <c r="C31" s="358">
        <v>12</v>
      </c>
      <c r="D31" s="881">
        <v>4</v>
      </c>
      <c r="E31" s="351">
        <v>15</v>
      </c>
      <c r="F31" s="880">
        <v>6.7</v>
      </c>
      <c r="G31" s="351">
        <v>7</v>
      </c>
      <c r="H31" s="880">
        <v>3.4</v>
      </c>
    </row>
    <row r="32" spans="2:8" ht="20.100000000000001" customHeight="1">
      <c r="B32" s="363" t="s">
        <v>434</v>
      </c>
      <c r="C32" s="359">
        <v>7</v>
      </c>
      <c r="D32" s="879">
        <v>2.2999999999999998</v>
      </c>
      <c r="E32" s="126">
        <v>6</v>
      </c>
      <c r="F32" s="878">
        <v>3.7</v>
      </c>
      <c r="G32" s="126">
        <v>2</v>
      </c>
      <c r="H32" s="878">
        <v>1.3</v>
      </c>
    </row>
    <row r="33" spans="2:9" ht="20.100000000000001" customHeight="1">
      <c r="B33" s="777" t="s">
        <v>650</v>
      </c>
      <c r="C33" s="432">
        <v>75</v>
      </c>
      <c r="D33" s="859">
        <v>23.3</v>
      </c>
      <c r="E33" s="432">
        <v>73</v>
      </c>
      <c r="F33" s="877">
        <v>27.3</v>
      </c>
      <c r="G33" s="432">
        <v>16</v>
      </c>
      <c r="H33" s="877">
        <v>8.1</v>
      </c>
    </row>
    <row r="34" spans="2:9" ht="20.100000000000001" customHeight="1">
      <c r="B34" s="885" t="s">
        <v>658</v>
      </c>
      <c r="C34" s="791"/>
      <c r="D34" s="884"/>
      <c r="E34" s="883"/>
      <c r="F34" s="882"/>
      <c r="G34" s="883"/>
      <c r="H34" s="882"/>
    </row>
    <row r="35" spans="2:9" ht="20.100000000000001" customHeight="1">
      <c r="B35" s="363" t="s">
        <v>551</v>
      </c>
      <c r="C35" s="358">
        <v>55</v>
      </c>
      <c r="D35" s="881">
        <v>17.100000000000001</v>
      </c>
      <c r="E35" s="351">
        <v>60</v>
      </c>
      <c r="F35" s="880">
        <v>17.2</v>
      </c>
      <c r="G35" s="351">
        <v>26</v>
      </c>
      <c r="H35" s="880">
        <v>6.6</v>
      </c>
    </row>
    <row r="36" spans="2:9" ht="20.100000000000001" customHeight="1">
      <c r="B36" s="363" t="s">
        <v>421</v>
      </c>
      <c r="C36" s="358">
        <v>203</v>
      </c>
      <c r="D36" s="881">
        <v>32.5</v>
      </c>
      <c r="E36" s="351">
        <v>6</v>
      </c>
      <c r="F36" s="880">
        <v>2</v>
      </c>
      <c r="G36" s="351" t="s">
        <v>14</v>
      </c>
      <c r="H36" s="880" t="s">
        <v>14</v>
      </c>
    </row>
    <row r="37" spans="2:9" ht="20.100000000000001" customHeight="1">
      <c r="B37" s="363" t="s">
        <v>481</v>
      </c>
      <c r="C37" s="358">
        <v>40</v>
      </c>
      <c r="D37" s="881">
        <v>12.2</v>
      </c>
      <c r="E37" s="351">
        <v>24</v>
      </c>
      <c r="F37" s="880">
        <v>7.5</v>
      </c>
      <c r="G37" s="351">
        <v>25</v>
      </c>
      <c r="H37" s="880">
        <v>6.4</v>
      </c>
    </row>
    <row r="38" spans="2:9" ht="20.100000000000001" customHeight="1">
      <c r="B38" s="363" t="s">
        <v>480</v>
      </c>
      <c r="C38" s="358">
        <v>135</v>
      </c>
      <c r="D38" s="881">
        <v>14.4</v>
      </c>
      <c r="E38" s="351">
        <v>132</v>
      </c>
      <c r="F38" s="880">
        <v>16</v>
      </c>
      <c r="G38" s="351">
        <v>93</v>
      </c>
      <c r="H38" s="880">
        <v>6.1</v>
      </c>
    </row>
    <row r="39" spans="2:9" ht="20.100000000000001" customHeight="1">
      <c r="B39" s="363" t="s">
        <v>443</v>
      </c>
      <c r="C39" s="358">
        <v>370</v>
      </c>
      <c r="D39" s="881">
        <v>159.30000000000001</v>
      </c>
      <c r="E39" s="351">
        <v>348</v>
      </c>
      <c r="F39" s="880">
        <v>120.7</v>
      </c>
      <c r="G39" s="351">
        <v>29</v>
      </c>
      <c r="H39" s="880">
        <v>8.1999999999999993</v>
      </c>
    </row>
    <row r="40" spans="2:9" ht="20.100000000000001" customHeight="1">
      <c r="B40" s="363" t="s">
        <v>434</v>
      </c>
      <c r="C40" s="359">
        <v>778</v>
      </c>
      <c r="D40" s="879">
        <v>203.2</v>
      </c>
      <c r="E40" s="126">
        <v>790</v>
      </c>
      <c r="F40" s="878">
        <v>240.3</v>
      </c>
      <c r="G40" s="126">
        <v>168</v>
      </c>
      <c r="H40" s="878">
        <v>48.8</v>
      </c>
    </row>
    <row r="41" spans="2:9" ht="20.100000000000001" customHeight="1">
      <c r="B41" s="433" t="s">
        <v>650</v>
      </c>
      <c r="C41" s="432">
        <v>1581</v>
      </c>
      <c r="D41" s="859">
        <v>438.7</v>
      </c>
      <c r="E41" s="432">
        <v>1360</v>
      </c>
      <c r="F41" s="877">
        <v>403.7</v>
      </c>
      <c r="G41" s="432">
        <v>341</v>
      </c>
      <c r="H41" s="877">
        <v>76.099999999999994</v>
      </c>
    </row>
    <row r="42" spans="2:9" ht="20.100000000000001" customHeight="1">
      <c r="B42" s="743" t="s">
        <v>36</v>
      </c>
      <c r="C42" s="794">
        <v>1656</v>
      </c>
      <c r="D42" s="857">
        <v>462</v>
      </c>
      <c r="E42" s="794">
        <v>1433</v>
      </c>
      <c r="F42" s="876">
        <v>431</v>
      </c>
      <c r="G42" s="794">
        <v>357</v>
      </c>
      <c r="H42" s="876">
        <v>84.2</v>
      </c>
    </row>
    <row r="43" spans="2:9" ht="9" customHeight="1"/>
    <row r="44" spans="2:9" ht="37.5" customHeight="1">
      <c r="B44" s="1216" t="s">
        <v>657</v>
      </c>
      <c r="C44" s="1216"/>
      <c r="D44" s="1216"/>
      <c r="E44" s="1216"/>
      <c r="F44" s="1216"/>
      <c r="G44" s="655"/>
      <c r="H44" s="655"/>
      <c r="I44" s="655"/>
    </row>
    <row r="45" spans="2:9" ht="20.100000000000001" customHeight="1">
      <c r="B45" s="1220" t="s">
        <v>656</v>
      </c>
      <c r="C45" s="1220"/>
      <c r="D45" s="1220"/>
      <c r="E45" s="1220"/>
      <c r="F45" s="1220"/>
      <c r="G45" s="655"/>
      <c r="H45" s="655"/>
      <c r="I45" s="655"/>
    </row>
    <row r="46" spans="2:9" ht="20.100000000000001" customHeight="1">
      <c r="B46" s="655"/>
      <c r="C46" s="655"/>
      <c r="D46" s="655"/>
      <c r="E46" s="655"/>
      <c r="F46" s="655"/>
      <c r="G46" s="655"/>
      <c r="H46" s="655"/>
      <c r="I46" s="655"/>
    </row>
    <row r="63" spans="2:8" s="339" customFormat="1" ht="20.100000000000001" customHeight="1">
      <c r="B63" s="468"/>
      <c r="C63" s="468"/>
      <c r="D63" s="468"/>
      <c r="E63" s="468"/>
      <c r="F63" s="468"/>
      <c r="G63" s="468"/>
      <c r="H63" s="468"/>
    </row>
  </sheetData>
  <mergeCells count="10">
    <mergeCell ref="B45:F45"/>
    <mergeCell ref="B2:F2"/>
    <mergeCell ref="C4:D4"/>
    <mergeCell ref="E4:F4"/>
    <mergeCell ref="G4:H4"/>
    <mergeCell ref="I4:J4"/>
    <mergeCell ref="C24:D24"/>
    <mergeCell ref="E24:F24"/>
    <mergeCell ref="G24:H24"/>
    <mergeCell ref="B44:F44"/>
  </mergeCells>
  <pageMargins left="0.75" right="0.75" top="1" bottom="1" header="0.5" footer="0.5"/>
  <pageSetup paperSize="9" scale="56" orientation="portrait" horizontalDpi="4294967292" verticalDpi="4294967292"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54">
    <tabColor rgb="FF733E8D"/>
    <pageSetUpPr fitToPage="1"/>
  </sheetPr>
  <dimension ref="B2:H51"/>
  <sheetViews>
    <sheetView showGridLines="0" zoomScaleSheetLayoutView="120" workbookViewId="0">
      <pane xSplit="1" ySplit="5" topLeftCell="B6" activePane="bottomRight" state="frozen"/>
      <selection activeCell="B15" sqref="B15"/>
      <selection pane="topRight" activeCell="B15" sqref="B15"/>
      <selection pane="bottomLeft" activeCell="B15" sqref="B15"/>
      <selection pane="bottomRight" activeCell="J34" sqref="J34"/>
    </sheetView>
  </sheetViews>
  <sheetFormatPr defaultColWidth="10.875" defaultRowHeight="20.100000000000001" customHeight="1"/>
  <cols>
    <col min="1" max="1" width="5.5" style="468" customWidth="1"/>
    <col min="2" max="2" width="39.375" style="468" customWidth="1"/>
    <col min="3" max="3" width="32.875" style="468" customWidth="1"/>
    <col min="4" max="4" width="34.125" style="468" customWidth="1"/>
    <col min="5" max="5" width="10.875" style="896"/>
    <col min="6" max="16384" width="10.875" style="468"/>
  </cols>
  <sheetData>
    <row r="2" spans="2:8" ht="20.100000000000001" customHeight="1">
      <c r="B2" s="1156" t="str">
        <f>UPPER("Interests in pipelines")</f>
        <v>INTERESTS IN PIPELINES</v>
      </c>
      <c r="C2" s="1156"/>
      <c r="D2" s="1156"/>
      <c r="E2" s="1156"/>
      <c r="F2" s="1156"/>
      <c r="G2" s="1156"/>
      <c r="H2" s="1156"/>
    </row>
    <row r="3" spans="2:8" ht="20.100000000000001" customHeight="1">
      <c r="B3" s="967" t="s">
        <v>786</v>
      </c>
    </row>
    <row r="4" spans="2:8" ht="20.100000000000001" customHeight="1">
      <c r="B4" s="966" t="s">
        <v>303</v>
      </c>
      <c r="C4" s="964"/>
      <c r="D4" s="964"/>
      <c r="E4" s="965"/>
      <c r="F4" s="964"/>
      <c r="G4" s="964"/>
      <c r="H4" s="964"/>
    </row>
    <row r="5" spans="2:8" ht="20.100000000000001" customHeight="1">
      <c r="B5" s="744" t="s">
        <v>785</v>
      </c>
      <c r="C5" s="744" t="s">
        <v>784</v>
      </c>
      <c r="D5" s="744" t="s">
        <v>783</v>
      </c>
      <c r="E5" s="963" t="s">
        <v>782</v>
      </c>
      <c r="F5" s="963" t="s">
        <v>781</v>
      </c>
      <c r="G5" s="963" t="s">
        <v>780</v>
      </c>
      <c r="H5" s="963" t="s">
        <v>642</v>
      </c>
    </row>
    <row r="6" spans="2:8" ht="20.100000000000001" customHeight="1">
      <c r="B6" s="962" t="s">
        <v>458</v>
      </c>
      <c r="C6" s="961"/>
      <c r="D6" s="960"/>
      <c r="E6" s="959"/>
      <c r="F6" s="959"/>
      <c r="G6" s="959"/>
      <c r="H6" s="958"/>
    </row>
    <row r="7" spans="2:8" ht="20.100000000000001" customHeight="1">
      <c r="B7" s="370" t="s">
        <v>457</v>
      </c>
      <c r="C7" s="934"/>
      <c r="D7" s="934"/>
      <c r="E7" s="933"/>
      <c r="F7" s="933"/>
      <c r="G7" s="933"/>
      <c r="H7" s="914"/>
    </row>
    <row r="8" spans="2:8" ht="20.100000000000001" customHeight="1">
      <c r="B8" s="932" t="s">
        <v>779</v>
      </c>
      <c r="C8" s="932" t="s">
        <v>778</v>
      </c>
      <c r="D8" s="931" t="s">
        <v>777</v>
      </c>
      <c r="E8" s="957" t="s">
        <v>743</v>
      </c>
      <c r="F8" s="929"/>
      <c r="G8" s="929" t="s">
        <v>676</v>
      </c>
      <c r="H8" s="915"/>
    </row>
    <row r="9" spans="2:8" ht="20.100000000000001" customHeight="1">
      <c r="B9" s="370" t="s">
        <v>454</v>
      </c>
      <c r="C9" s="371"/>
      <c r="D9" s="371"/>
      <c r="E9" s="914"/>
      <c r="F9" s="914"/>
      <c r="G9" s="914"/>
      <c r="H9" s="914"/>
    </row>
    <row r="10" spans="2:8" ht="20.100000000000001" customHeight="1">
      <c r="B10" s="938" t="s">
        <v>776</v>
      </c>
      <c r="C10" s="938" t="s">
        <v>775</v>
      </c>
      <c r="D10" s="937" t="s">
        <v>774</v>
      </c>
      <c r="E10" s="943" t="s">
        <v>773</v>
      </c>
      <c r="F10" s="935"/>
      <c r="G10" s="935" t="s">
        <v>676</v>
      </c>
      <c r="H10" s="915"/>
    </row>
    <row r="11" spans="2:8" ht="20.100000000000001" customHeight="1">
      <c r="B11" s="938" t="s">
        <v>772</v>
      </c>
      <c r="C11" s="938" t="s">
        <v>771</v>
      </c>
      <c r="D11" s="937" t="s">
        <v>770</v>
      </c>
      <c r="E11" s="943" t="s">
        <v>769</v>
      </c>
      <c r="F11" s="935"/>
      <c r="G11" s="935" t="s">
        <v>676</v>
      </c>
      <c r="H11" s="915"/>
    </row>
    <row r="12" spans="2:8" ht="20.100000000000001" customHeight="1">
      <c r="B12" s="938" t="s">
        <v>768</v>
      </c>
      <c r="C12" s="938" t="s">
        <v>767</v>
      </c>
      <c r="D12" s="937" t="s">
        <v>766</v>
      </c>
      <c r="E12" s="943" t="s">
        <v>743</v>
      </c>
      <c r="F12" s="935"/>
      <c r="G12" s="935" t="s">
        <v>676</v>
      </c>
      <c r="H12" s="915"/>
    </row>
    <row r="13" spans="2:8" ht="20.100000000000001" customHeight="1">
      <c r="B13" s="938" t="s">
        <v>765</v>
      </c>
      <c r="C13" s="938" t="s">
        <v>764</v>
      </c>
      <c r="D13" s="937" t="s">
        <v>763</v>
      </c>
      <c r="E13" s="943" t="s">
        <v>762</v>
      </c>
      <c r="F13" s="935"/>
      <c r="G13" s="935" t="s">
        <v>676</v>
      </c>
      <c r="H13" s="915"/>
    </row>
    <row r="14" spans="2:8" ht="20.100000000000001" customHeight="1">
      <c r="B14" s="938" t="s">
        <v>761</v>
      </c>
      <c r="C14" s="938" t="s">
        <v>760</v>
      </c>
      <c r="D14" s="937" t="s">
        <v>759</v>
      </c>
      <c r="E14" s="943" t="s">
        <v>758</v>
      </c>
      <c r="F14" s="935"/>
      <c r="G14" s="935" t="s">
        <v>676</v>
      </c>
      <c r="H14" s="915"/>
    </row>
    <row r="15" spans="2:8" ht="20.100000000000001" customHeight="1">
      <c r="B15" s="938" t="s">
        <v>757</v>
      </c>
      <c r="C15" s="938" t="s">
        <v>756</v>
      </c>
      <c r="D15" s="937" t="s">
        <v>755</v>
      </c>
      <c r="E15" s="943" t="s">
        <v>754</v>
      </c>
      <c r="F15" s="935"/>
      <c r="G15" s="935" t="s">
        <v>676</v>
      </c>
      <c r="H15" s="915"/>
    </row>
    <row r="16" spans="2:8" ht="20.100000000000001" customHeight="1">
      <c r="B16" s="956" t="s">
        <v>753</v>
      </c>
      <c r="C16" s="956" t="s">
        <v>752</v>
      </c>
      <c r="D16" s="956" t="s">
        <v>751</v>
      </c>
      <c r="E16" s="955" t="s">
        <v>743</v>
      </c>
      <c r="F16" s="953"/>
      <c r="G16" s="954" t="s">
        <v>676</v>
      </c>
      <c r="H16" s="953"/>
    </row>
    <row r="17" spans="2:8" ht="20.100000000000001" customHeight="1">
      <c r="B17" s="952" t="s">
        <v>750</v>
      </c>
      <c r="C17" s="951" t="s">
        <v>749</v>
      </c>
      <c r="D17" s="950" t="s">
        <v>748</v>
      </c>
      <c r="E17" s="949" t="s">
        <v>747</v>
      </c>
      <c r="F17" s="948"/>
      <c r="G17" s="948"/>
      <c r="H17" s="948" t="s">
        <v>676</v>
      </c>
    </row>
    <row r="18" spans="2:8" ht="20.100000000000001" customHeight="1">
      <c r="B18" s="947" t="s">
        <v>746</v>
      </c>
      <c r="C18" s="437"/>
      <c r="D18" s="437"/>
      <c r="E18" s="946"/>
      <c r="F18" s="945"/>
      <c r="G18" s="945"/>
      <c r="H18" s="945"/>
    </row>
    <row r="19" spans="2:8" ht="20.100000000000001" customHeight="1">
      <c r="B19" s="938" t="s">
        <v>745</v>
      </c>
      <c r="C19" s="938" t="s">
        <v>744</v>
      </c>
      <c r="D19" s="937" t="s">
        <v>740</v>
      </c>
      <c r="E19" s="943" t="s">
        <v>743</v>
      </c>
      <c r="F19" s="935"/>
      <c r="G19" s="935"/>
      <c r="H19" s="915" t="s">
        <v>676</v>
      </c>
    </row>
    <row r="20" spans="2:8" ht="20.100000000000001" customHeight="1">
      <c r="B20" s="938" t="s">
        <v>742</v>
      </c>
      <c r="C20" s="938" t="s">
        <v>741</v>
      </c>
      <c r="D20" s="937" t="s">
        <v>740</v>
      </c>
      <c r="E20" s="943" t="s">
        <v>739</v>
      </c>
      <c r="F20" s="935"/>
      <c r="G20" s="935"/>
      <c r="H20" s="915" t="s">
        <v>676</v>
      </c>
    </row>
    <row r="21" spans="2:8" ht="20.100000000000001" customHeight="1">
      <c r="B21" s="901" t="s">
        <v>738</v>
      </c>
      <c r="C21" s="901" t="s">
        <v>737</v>
      </c>
      <c r="D21" s="900" t="s">
        <v>736</v>
      </c>
      <c r="E21" s="899" t="s">
        <v>735</v>
      </c>
      <c r="F21" s="898"/>
      <c r="G21" s="898"/>
      <c r="H21" s="897" t="s">
        <v>676</v>
      </c>
    </row>
    <row r="22" spans="2:8" ht="20.100000000000001" customHeight="1">
      <c r="B22" s="370" t="s">
        <v>452</v>
      </c>
      <c r="C22" s="371"/>
      <c r="D22" s="371"/>
      <c r="E22" s="944"/>
      <c r="F22" s="914"/>
      <c r="G22" s="914"/>
      <c r="H22" s="914"/>
    </row>
    <row r="23" spans="2:8" ht="20.100000000000001" customHeight="1">
      <c r="B23" s="938" t="s">
        <v>734</v>
      </c>
      <c r="C23" s="938" t="s">
        <v>733</v>
      </c>
      <c r="D23" s="937" t="s">
        <v>732</v>
      </c>
      <c r="E23" s="943" t="s">
        <v>731</v>
      </c>
      <c r="F23" s="935" t="s">
        <v>676</v>
      </c>
      <c r="G23" s="935" t="s">
        <v>676</v>
      </c>
      <c r="H23" s="915"/>
    </row>
    <row r="24" spans="2:8" ht="20.100000000000001" customHeight="1">
      <c r="B24" s="938" t="s">
        <v>730</v>
      </c>
      <c r="C24" s="938" t="s">
        <v>729</v>
      </c>
      <c r="D24" s="937" t="s">
        <v>728</v>
      </c>
      <c r="E24" s="943" t="s">
        <v>727</v>
      </c>
      <c r="F24" s="935"/>
      <c r="G24" s="935" t="s">
        <v>676</v>
      </c>
      <c r="H24" s="915"/>
    </row>
    <row r="25" spans="2:8" ht="20.100000000000001" customHeight="1">
      <c r="B25" s="938" t="s">
        <v>726</v>
      </c>
      <c r="C25" s="938" t="s">
        <v>725</v>
      </c>
      <c r="D25" s="937" t="s">
        <v>724</v>
      </c>
      <c r="E25" s="943" t="s">
        <v>723</v>
      </c>
      <c r="F25" s="935"/>
      <c r="G25" s="935" t="s">
        <v>676</v>
      </c>
      <c r="H25" s="915"/>
    </row>
    <row r="26" spans="2:8" ht="20.100000000000001" customHeight="1">
      <c r="B26" s="938" t="s">
        <v>722</v>
      </c>
      <c r="C26" s="938" t="s">
        <v>721</v>
      </c>
      <c r="D26" s="937" t="s">
        <v>720</v>
      </c>
      <c r="E26" s="943" t="s">
        <v>719</v>
      </c>
      <c r="F26" s="935"/>
      <c r="G26" s="935" t="s">
        <v>676</v>
      </c>
      <c r="H26" s="915"/>
    </row>
    <row r="27" spans="2:8" ht="20.100000000000001" customHeight="1">
      <c r="B27" s="938" t="s">
        <v>718</v>
      </c>
      <c r="C27" s="938" t="s">
        <v>717</v>
      </c>
      <c r="D27" s="937" t="s">
        <v>714</v>
      </c>
      <c r="E27" s="943" t="s">
        <v>716</v>
      </c>
      <c r="F27" s="935"/>
      <c r="G27" s="935"/>
      <c r="H27" s="915" t="s">
        <v>676</v>
      </c>
    </row>
    <row r="28" spans="2:8" ht="20.100000000000001" customHeight="1">
      <c r="B28" s="901" t="s">
        <v>715</v>
      </c>
      <c r="C28" s="901" t="s">
        <v>714</v>
      </c>
      <c r="D28" s="900" t="s">
        <v>713</v>
      </c>
      <c r="E28" s="899" t="s">
        <v>712</v>
      </c>
      <c r="F28" s="898" t="s">
        <v>676</v>
      </c>
      <c r="G28" s="898"/>
      <c r="H28" s="897" t="s">
        <v>676</v>
      </c>
    </row>
    <row r="29" spans="2:8" ht="20.100000000000001" customHeight="1">
      <c r="B29" s="912" t="s">
        <v>451</v>
      </c>
      <c r="C29" s="942"/>
      <c r="D29" s="941"/>
      <c r="E29" s="940"/>
      <c r="F29" s="940"/>
      <c r="G29" s="940"/>
      <c r="H29" s="939"/>
    </row>
    <row r="30" spans="2:8" ht="20.100000000000001" customHeight="1">
      <c r="B30" s="370" t="s">
        <v>449</v>
      </c>
      <c r="C30" s="371"/>
      <c r="D30" s="371"/>
      <c r="E30" s="914"/>
      <c r="F30" s="914"/>
      <c r="G30" s="914"/>
      <c r="H30" s="914"/>
    </row>
    <row r="31" spans="2:8" ht="20.100000000000001" customHeight="1">
      <c r="B31" s="938" t="s">
        <v>711</v>
      </c>
      <c r="C31" s="938" t="s">
        <v>710</v>
      </c>
      <c r="D31" s="937" t="s">
        <v>709</v>
      </c>
      <c r="E31" s="936" t="s">
        <v>708</v>
      </c>
      <c r="F31" s="935" t="s">
        <v>676</v>
      </c>
      <c r="G31" s="935" t="s">
        <v>676</v>
      </c>
      <c r="H31" s="915"/>
    </row>
    <row r="32" spans="2:8" ht="20.100000000000001" customHeight="1">
      <c r="B32" s="370" t="s">
        <v>448</v>
      </c>
      <c r="C32" s="934"/>
      <c r="D32" s="934"/>
      <c r="E32" s="933"/>
      <c r="F32" s="933"/>
      <c r="G32" s="933"/>
      <c r="H32" s="933"/>
    </row>
    <row r="33" spans="2:8" ht="20.100000000000001" customHeight="1">
      <c r="B33" s="932" t="s">
        <v>707</v>
      </c>
      <c r="C33" s="932" t="s">
        <v>706</v>
      </c>
      <c r="D33" s="931" t="s">
        <v>704</v>
      </c>
      <c r="E33" s="930" t="s">
        <v>702</v>
      </c>
      <c r="F33" s="929" t="s">
        <v>676</v>
      </c>
      <c r="G33" s="929"/>
      <c r="H33" s="923" t="s">
        <v>676</v>
      </c>
    </row>
    <row r="34" spans="2:8" ht="20.100000000000001" customHeight="1">
      <c r="B34" s="928" t="s">
        <v>705</v>
      </c>
      <c r="C34" s="928" t="s">
        <v>704</v>
      </c>
      <c r="D34" s="927" t="s">
        <v>703</v>
      </c>
      <c r="E34" s="926" t="s">
        <v>702</v>
      </c>
      <c r="F34" s="925" t="s">
        <v>676</v>
      </c>
      <c r="G34" s="925"/>
      <c r="H34" s="924" t="s">
        <v>676</v>
      </c>
    </row>
    <row r="35" spans="2:8" ht="20.100000000000001" customHeight="1">
      <c r="B35" s="912" t="s">
        <v>447</v>
      </c>
      <c r="C35" s="919"/>
      <c r="D35" s="918"/>
      <c r="E35" s="917"/>
      <c r="F35" s="917"/>
      <c r="G35" s="917"/>
      <c r="H35" s="916"/>
    </row>
    <row r="36" spans="2:8" ht="20.100000000000001" customHeight="1">
      <c r="B36" s="15" t="s">
        <v>422</v>
      </c>
      <c r="C36" s="141"/>
      <c r="D36" s="141"/>
      <c r="E36" s="923"/>
      <c r="F36" s="923"/>
      <c r="G36" s="923"/>
      <c r="H36" s="923"/>
    </row>
    <row r="37" spans="2:8" ht="20.100000000000001" customHeight="1">
      <c r="B37" s="921" t="s">
        <v>701</v>
      </c>
      <c r="C37" s="921" t="s">
        <v>700</v>
      </c>
      <c r="D37" s="921" t="s">
        <v>699</v>
      </c>
      <c r="E37" s="922" t="s">
        <v>698</v>
      </c>
      <c r="F37" s="921"/>
      <c r="G37" s="921"/>
      <c r="H37" s="920" t="s">
        <v>676</v>
      </c>
    </row>
    <row r="38" spans="2:8" ht="20.100000000000001" customHeight="1">
      <c r="B38" s="912" t="s">
        <v>443</v>
      </c>
      <c r="C38" s="919"/>
      <c r="D38" s="918"/>
      <c r="E38" s="917"/>
      <c r="F38" s="917"/>
      <c r="G38" s="917"/>
      <c r="H38" s="916"/>
    </row>
    <row r="39" spans="2:8" ht="20.100000000000001" customHeight="1">
      <c r="B39" s="15" t="s">
        <v>442</v>
      </c>
      <c r="C39" s="363"/>
      <c r="D39" s="363"/>
      <c r="E39" s="915"/>
      <c r="F39" s="915"/>
      <c r="G39" s="915"/>
      <c r="H39" s="915"/>
    </row>
    <row r="40" spans="2:8" ht="20.100000000000001" customHeight="1">
      <c r="B40" s="901" t="s">
        <v>697</v>
      </c>
      <c r="C40" s="901" t="s">
        <v>696</v>
      </c>
      <c r="D40" s="900" t="s">
        <v>695</v>
      </c>
      <c r="E40" s="899" t="s">
        <v>694</v>
      </c>
      <c r="F40" s="898"/>
      <c r="G40" s="898"/>
      <c r="H40" s="897" t="s">
        <v>676</v>
      </c>
    </row>
    <row r="41" spans="2:8" ht="20.100000000000001" customHeight="1">
      <c r="B41" s="370" t="s">
        <v>440</v>
      </c>
      <c r="C41" s="371"/>
      <c r="D41" s="371"/>
      <c r="E41" s="914"/>
      <c r="F41" s="914"/>
      <c r="G41" s="914"/>
      <c r="H41" s="914"/>
    </row>
    <row r="42" spans="2:8" ht="20.100000000000001" customHeight="1">
      <c r="B42" s="142" t="s">
        <v>693</v>
      </c>
      <c r="C42" s="365" t="s">
        <v>692</v>
      </c>
      <c r="D42" s="365" t="s">
        <v>691</v>
      </c>
      <c r="E42" s="913" t="s">
        <v>690</v>
      </c>
      <c r="F42" s="897"/>
      <c r="G42" s="897"/>
      <c r="H42" s="897" t="s">
        <v>676</v>
      </c>
    </row>
    <row r="43" spans="2:8" ht="20.100000000000001" customHeight="1">
      <c r="B43" s="901" t="s">
        <v>689</v>
      </c>
      <c r="C43" s="901" t="s">
        <v>688</v>
      </c>
      <c r="D43" s="900" t="s">
        <v>687</v>
      </c>
      <c r="E43" s="899" t="s">
        <v>686</v>
      </c>
      <c r="F43" s="898"/>
      <c r="G43" s="898"/>
      <c r="H43" s="897" t="s">
        <v>676</v>
      </c>
    </row>
    <row r="44" spans="2:8" ht="20.100000000000001" customHeight="1">
      <c r="B44" s="912" t="s">
        <v>685</v>
      </c>
      <c r="C44" s="911"/>
      <c r="D44" s="910"/>
      <c r="E44" s="909"/>
      <c r="F44" s="909"/>
      <c r="G44" s="909"/>
      <c r="H44" s="908"/>
    </row>
    <row r="45" spans="2:8" ht="20.100000000000001" customHeight="1">
      <c r="B45" s="906" t="s">
        <v>433</v>
      </c>
      <c r="C45" s="905"/>
      <c r="D45" s="904"/>
      <c r="E45" s="903"/>
      <c r="F45" s="903"/>
      <c r="G45" s="903"/>
      <c r="H45" s="902"/>
    </row>
    <row r="46" spans="2:8" ht="20.100000000000001" customHeight="1">
      <c r="B46" s="905" t="s">
        <v>684</v>
      </c>
      <c r="C46" s="905" t="s">
        <v>683</v>
      </c>
      <c r="D46" s="904" t="s">
        <v>682</v>
      </c>
      <c r="E46" s="907" t="s">
        <v>681</v>
      </c>
      <c r="F46" s="903"/>
      <c r="G46" s="903"/>
      <c r="H46" s="902" t="s">
        <v>676</v>
      </c>
    </row>
    <row r="47" spans="2:8" ht="20.100000000000001" customHeight="1">
      <c r="B47" s="906" t="s">
        <v>429</v>
      </c>
      <c r="C47" s="905"/>
      <c r="D47" s="904"/>
      <c r="E47" s="903"/>
      <c r="F47" s="903"/>
      <c r="G47" s="903"/>
      <c r="H47" s="902"/>
    </row>
    <row r="48" spans="2:8" ht="20.100000000000001" customHeight="1">
      <c r="B48" s="901" t="s">
        <v>680</v>
      </c>
      <c r="C48" s="901" t="s">
        <v>679</v>
      </c>
      <c r="D48" s="900" t="s">
        <v>678</v>
      </c>
      <c r="E48" s="899" t="s">
        <v>677</v>
      </c>
      <c r="F48" s="898" t="s">
        <v>676</v>
      </c>
      <c r="G48" s="898"/>
      <c r="H48" s="897" t="s">
        <v>676</v>
      </c>
    </row>
    <row r="50" spans="2:8" ht="20.100000000000001" customHeight="1">
      <c r="B50" s="1188" t="s">
        <v>675</v>
      </c>
      <c r="C50" s="1188"/>
      <c r="D50" s="1188"/>
      <c r="E50" s="1188"/>
      <c r="F50" s="1188"/>
      <c r="G50" s="1188"/>
      <c r="H50" s="1188"/>
    </row>
    <row r="51" spans="2:8" ht="20.100000000000001" customHeight="1">
      <c r="B51" s="1188" t="s">
        <v>674</v>
      </c>
      <c r="C51" s="1188"/>
      <c r="D51" s="1188"/>
      <c r="E51" s="1188"/>
      <c r="F51" s="1188"/>
      <c r="G51" s="1188"/>
      <c r="H51" s="1188"/>
    </row>
  </sheetData>
  <mergeCells count="3">
    <mergeCell ref="B2:H2"/>
    <mergeCell ref="B50:H50"/>
    <mergeCell ref="B51:H51"/>
  </mergeCells>
  <pageMargins left="0.74803149606299213" right="0.74803149606299213" top="0.98425196850393704" bottom="0.98425196850393704" header="0.51181102362204722" footer="0.51181102362204722"/>
  <pageSetup paperSize="9" scale="51" orientation="portrait" horizontalDpi="4294967292" verticalDpi="4294967292"/>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55">
    <tabColor rgb="FF00529E"/>
  </sheetPr>
  <dimension ref="A2:E44"/>
  <sheetViews>
    <sheetView showGridLines="0" view="pageBreakPreview" zoomScaleNormal="150" zoomScaleSheetLayoutView="100" zoomScalePageLayoutView="150" workbookViewId="0">
      <selection activeCell="B22" sqref="B22"/>
    </sheetView>
  </sheetViews>
  <sheetFormatPr defaultColWidth="10.875" defaultRowHeight="20.100000000000001" customHeight="1"/>
  <cols>
    <col min="1" max="1" width="5.5" style="451" customWidth="1"/>
    <col min="2" max="2" width="67" style="451" customWidth="1"/>
    <col min="3" max="4" width="10.875" style="451" customWidth="1"/>
    <col min="5" max="5" width="10.875" style="451"/>
    <col min="6" max="6" width="0.125" style="451" customWidth="1"/>
    <col min="7" max="10" width="10.875" style="451"/>
    <col min="11" max="11" width="10.375" style="451" customWidth="1"/>
    <col min="12" max="12" width="0" style="451" hidden="1" customWidth="1"/>
    <col min="13" max="16384" width="10.875" style="451"/>
  </cols>
  <sheetData>
    <row r="2" spans="2:5" ht="20.100000000000001" customHeight="1">
      <c r="B2" s="1156" t="s">
        <v>1088</v>
      </c>
      <c r="C2" s="1156"/>
      <c r="D2" s="1156"/>
      <c r="E2" s="1156"/>
    </row>
    <row r="3" spans="2:5" ht="20.100000000000001" customHeight="1">
      <c r="B3" s="213"/>
      <c r="C3" s="213"/>
      <c r="D3" s="213"/>
    </row>
    <row r="4" spans="2:5" ht="20.100000000000001" customHeight="1">
      <c r="B4" s="574" t="s">
        <v>13</v>
      </c>
      <c r="C4" s="573">
        <v>2017</v>
      </c>
      <c r="D4" s="573">
        <v>2016</v>
      </c>
      <c r="E4" s="572">
        <v>2015</v>
      </c>
    </row>
    <row r="5" spans="2:5" ht="20.100000000000001" customHeight="1">
      <c r="B5" s="1152" t="s">
        <v>368</v>
      </c>
      <c r="C5" s="376">
        <v>485</v>
      </c>
      <c r="D5" s="351">
        <v>439</v>
      </c>
      <c r="E5" s="351">
        <v>567</v>
      </c>
    </row>
    <row r="6" spans="2:5" ht="20.100000000000001" customHeight="1">
      <c r="B6" s="1152" t="s">
        <v>367</v>
      </c>
      <c r="C6" s="376">
        <v>797</v>
      </c>
      <c r="D6" s="351">
        <v>1221</v>
      </c>
      <c r="E6" s="351">
        <v>588</v>
      </c>
    </row>
    <row r="7" spans="2:5" ht="20.100000000000001" customHeight="1">
      <c r="B7" s="1152" t="s">
        <v>366</v>
      </c>
      <c r="C7" s="376">
        <v>353</v>
      </c>
      <c r="D7" s="351">
        <v>270</v>
      </c>
      <c r="E7" s="351">
        <f>+'Organic investments by bs (p21)'!E6</f>
        <v>397</v>
      </c>
    </row>
    <row r="8" spans="2:5" ht="20.100000000000001" customHeight="1">
      <c r="B8" s="1152" t="s">
        <v>185</v>
      </c>
      <c r="C8" s="376">
        <v>73</v>
      </c>
      <c r="D8" s="571">
        <v>166</v>
      </c>
      <c r="E8" s="571">
        <v>418</v>
      </c>
    </row>
    <row r="9" spans="2:5" ht="20.100000000000001" customHeight="1">
      <c r="B9" s="1152" t="s">
        <v>184</v>
      </c>
      <c r="C9" s="376">
        <v>993</v>
      </c>
      <c r="D9" s="571">
        <v>538</v>
      </c>
      <c r="E9" s="571">
        <v>-384</v>
      </c>
    </row>
    <row r="10" spans="2:5" s="471" customFormat="1" ht="20.100000000000001" customHeight="1">
      <c r="B10" s="563" t="s">
        <v>372</v>
      </c>
      <c r="C10" s="562">
        <v>294</v>
      </c>
      <c r="D10" s="561">
        <v>176</v>
      </c>
      <c r="E10" s="561">
        <v>5</v>
      </c>
    </row>
    <row r="11" spans="2:5" s="471" customFormat="1" ht="9" customHeight="1">
      <c r="B11" s="570"/>
      <c r="C11" s="570"/>
      <c r="D11" s="570"/>
      <c r="E11" s="570"/>
    </row>
    <row r="12" spans="2:5" s="1149" customFormat="1" ht="13.5" customHeight="1">
      <c r="B12" s="209" t="s">
        <v>1084</v>
      </c>
      <c r="C12" s="209"/>
      <c r="D12" s="209"/>
    </row>
    <row r="13" spans="2:5" s="1149" customFormat="1" ht="12.75" customHeight="1">
      <c r="B13" s="1223" t="s">
        <v>1089</v>
      </c>
      <c r="C13" s="1221"/>
      <c r="D13" s="1221"/>
      <c r="E13" s="1221"/>
    </row>
    <row r="14" spans="2:5" s="471" customFormat="1" ht="13.5" customHeight="1">
      <c r="B14" s="209" t="s">
        <v>363</v>
      </c>
      <c r="C14" s="209"/>
      <c r="D14" s="209"/>
      <c r="E14" s="1149"/>
    </row>
    <row r="15" spans="2:5" s="471" customFormat="1" ht="13.5" customHeight="1">
      <c r="B15" s="1221" t="s">
        <v>1087</v>
      </c>
      <c r="C15" s="1221"/>
      <c r="D15" s="1221"/>
      <c r="E15" s="1221"/>
    </row>
    <row r="16" spans="2:5" s="471" customFormat="1" ht="13.5" customHeight="1">
      <c r="B16" s="1222" t="s">
        <v>361</v>
      </c>
      <c r="C16" s="1222"/>
      <c r="D16" s="1222"/>
      <c r="E16" s="1222"/>
    </row>
    <row r="17" spans="1:5" s="471" customFormat="1" ht="13.5" customHeight="1">
      <c r="A17" s="464"/>
      <c r="B17" s="1150" t="s">
        <v>360</v>
      </c>
      <c r="C17" s="1149"/>
      <c r="D17" s="1149"/>
      <c r="E17" s="1150"/>
    </row>
    <row r="18" spans="1:5" ht="20.100000000000001" customHeight="1">
      <c r="B18" s="1161"/>
      <c r="C18" s="1161"/>
      <c r="D18" s="1161"/>
      <c r="E18" s="1161"/>
    </row>
    <row r="44" ht="17.25" customHeight="1"/>
  </sheetData>
  <mergeCells count="5">
    <mergeCell ref="B2:E2"/>
    <mergeCell ref="B15:E15"/>
    <mergeCell ref="B16:E16"/>
    <mergeCell ref="B18:E18"/>
    <mergeCell ref="B13:E13"/>
  </mergeCells>
  <pageMargins left="0.74803149606299213" right="0.74803149606299213" top="0.98425196850393704" bottom="0.98425196850393704" header="0.51181102362204722" footer="0.51181102362204722"/>
  <pageSetup paperSize="9" scale="70"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56">
    <tabColor rgb="FF00529E"/>
  </sheetPr>
  <dimension ref="B2:G16"/>
  <sheetViews>
    <sheetView showGridLines="0" workbookViewId="0"/>
  </sheetViews>
  <sheetFormatPr defaultColWidth="10.875" defaultRowHeight="20.100000000000001" customHeight="1"/>
  <cols>
    <col min="1" max="1" width="5.5" style="468" customWidth="1"/>
    <col min="2" max="2" width="39.375" style="468" customWidth="1"/>
    <col min="3" max="3" width="10.875" style="468"/>
    <col min="4" max="4" width="14.125" style="468" customWidth="1"/>
    <col min="5" max="5" width="12.125" style="468" customWidth="1"/>
    <col min="6" max="6" width="15.625" style="468" bestFit="1" customWidth="1"/>
    <col min="7" max="16384" width="10.875" style="468"/>
  </cols>
  <sheetData>
    <row r="2" spans="2:7" ht="20.100000000000001" customHeight="1">
      <c r="B2" s="1156" t="s">
        <v>801</v>
      </c>
      <c r="C2" s="1156"/>
      <c r="D2" s="1156"/>
      <c r="E2" s="1156"/>
      <c r="F2" s="1156"/>
    </row>
    <row r="4" spans="2:7" ht="25.5" customHeight="1">
      <c r="B4" s="980"/>
      <c r="C4" s="979" t="s">
        <v>800</v>
      </c>
      <c r="D4" s="978" t="s">
        <v>799</v>
      </c>
      <c r="E4" s="978" t="s">
        <v>798</v>
      </c>
      <c r="F4" s="977" t="s">
        <v>797</v>
      </c>
    </row>
    <row r="5" spans="2:7" ht="20.100000000000001" customHeight="1">
      <c r="B5" s="976" t="s">
        <v>796</v>
      </c>
      <c r="C5" s="975" t="s">
        <v>788</v>
      </c>
      <c r="D5" s="974">
        <v>1600</v>
      </c>
      <c r="E5" s="974">
        <v>320</v>
      </c>
      <c r="F5" s="973" t="s">
        <v>642</v>
      </c>
      <c r="G5" s="42"/>
    </row>
    <row r="6" spans="2:7" ht="20.100000000000001" customHeight="1">
      <c r="B6" s="976" t="s">
        <v>795</v>
      </c>
      <c r="C6" s="975" t="s">
        <v>788</v>
      </c>
      <c r="D6" s="974">
        <v>1385</v>
      </c>
      <c r="E6" s="974">
        <v>362</v>
      </c>
      <c r="F6" s="973" t="s">
        <v>794</v>
      </c>
      <c r="G6" s="42"/>
    </row>
    <row r="7" spans="2:7" ht="20.100000000000001" customHeight="1">
      <c r="B7" s="976" t="s">
        <v>793</v>
      </c>
      <c r="C7" s="975" t="s">
        <v>788</v>
      </c>
      <c r="D7" s="974">
        <v>450</v>
      </c>
      <c r="E7" s="974">
        <v>105</v>
      </c>
      <c r="F7" s="973" t="s">
        <v>792</v>
      </c>
      <c r="G7" s="42"/>
    </row>
    <row r="8" spans="2:7" ht="20.100000000000001" customHeight="1">
      <c r="B8" s="976" t="s">
        <v>791</v>
      </c>
      <c r="C8" s="975" t="s">
        <v>788</v>
      </c>
      <c r="D8" s="974">
        <v>362</v>
      </c>
      <c r="E8" s="974">
        <v>116</v>
      </c>
      <c r="F8" s="973" t="s">
        <v>790</v>
      </c>
      <c r="G8" s="42"/>
    </row>
    <row r="9" spans="2:7" s="968" customFormat="1" ht="20.100000000000001" customHeight="1">
      <c r="B9" s="972" t="s">
        <v>789</v>
      </c>
      <c r="C9" s="971" t="s">
        <v>788</v>
      </c>
      <c r="D9" s="970">
        <v>250</v>
      </c>
      <c r="E9" s="970">
        <v>250</v>
      </c>
      <c r="F9" s="969" t="s">
        <v>642</v>
      </c>
    </row>
    <row r="10" spans="2:7" ht="20.100000000000001" customHeight="1">
      <c r="B10" s="1224" t="s">
        <v>787</v>
      </c>
      <c r="C10" s="1224"/>
      <c r="D10" s="1224"/>
      <c r="E10" s="1224"/>
      <c r="F10" s="1224"/>
    </row>
    <row r="13" spans="2:7" ht="20.100000000000001" customHeight="1">
      <c r="B13" s="303"/>
    </row>
    <row r="16" spans="2:7" ht="20.100000000000001" customHeight="1">
      <c r="G16" s="468" t="s">
        <v>19</v>
      </c>
    </row>
  </sheetData>
  <mergeCells count="2">
    <mergeCell ref="B2:F2"/>
    <mergeCell ref="B10:F10"/>
  </mergeCells>
  <pageMargins left="0.75" right="0.75" top="1" bottom="1" header="0.5" footer="0.5"/>
  <pageSetup paperSize="9" scale="72" orientation="portrait" horizontalDpi="4294967292" verticalDpi="4294967292"/>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57">
    <tabColor rgb="FF00529E"/>
    <pageSetUpPr fitToPage="1"/>
  </sheetPr>
  <dimension ref="B2:O21"/>
  <sheetViews>
    <sheetView showGridLines="0" workbookViewId="0"/>
  </sheetViews>
  <sheetFormatPr defaultColWidth="10.875" defaultRowHeight="20.100000000000001" customHeight="1"/>
  <cols>
    <col min="1" max="1" width="5.5" style="468" customWidth="1"/>
    <col min="2" max="2" width="39.375" style="468" customWidth="1"/>
    <col min="3" max="4" width="10.875" style="468" customWidth="1"/>
    <col min="5" max="256" width="10.875" style="468"/>
    <col min="257" max="257" width="5.5" style="468" customWidth="1"/>
    <col min="258" max="258" width="39.375" style="468" customWidth="1"/>
    <col min="259" max="260" width="10.875" style="468" customWidth="1"/>
    <col min="261" max="512" width="10.875" style="468"/>
    <col min="513" max="513" width="5.5" style="468" customWidth="1"/>
    <col min="514" max="514" width="39.375" style="468" customWidth="1"/>
    <col min="515" max="516" width="10.875" style="468" customWidth="1"/>
    <col min="517" max="768" width="10.875" style="468"/>
    <col min="769" max="769" width="5.5" style="468" customWidth="1"/>
    <col min="770" max="770" width="39.375" style="468" customWidth="1"/>
    <col min="771" max="772" width="10.875" style="468" customWidth="1"/>
    <col min="773" max="1024" width="10.875" style="468"/>
    <col min="1025" max="1025" width="5.5" style="468" customWidth="1"/>
    <col min="1026" max="1026" width="39.375" style="468" customWidth="1"/>
    <col min="1027" max="1028" width="10.875" style="468" customWidth="1"/>
    <col min="1029" max="1280" width="10.875" style="468"/>
    <col min="1281" max="1281" width="5.5" style="468" customWidth="1"/>
    <col min="1282" max="1282" width="39.375" style="468" customWidth="1"/>
    <col min="1283" max="1284" width="10.875" style="468" customWidth="1"/>
    <col min="1285" max="1536" width="10.875" style="468"/>
    <col min="1537" max="1537" width="5.5" style="468" customWidth="1"/>
    <col min="1538" max="1538" width="39.375" style="468" customWidth="1"/>
    <col min="1539" max="1540" width="10.875" style="468" customWidth="1"/>
    <col min="1541" max="1792" width="10.875" style="468"/>
    <col min="1793" max="1793" width="5.5" style="468" customWidth="1"/>
    <col min="1794" max="1794" width="39.375" style="468" customWidth="1"/>
    <col min="1795" max="1796" width="10.875" style="468" customWidth="1"/>
    <col min="1797" max="2048" width="10.875" style="468"/>
    <col min="2049" max="2049" width="5.5" style="468" customWidth="1"/>
    <col min="2050" max="2050" width="39.375" style="468" customWidth="1"/>
    <col min="2051" max="2052" width="10.875" style="468" customWidth="1"/>
    <col min="2053" max="2304" width="10.875" style="468"/>
    <col min="2305" max="2305" width="5.5" style="468" customWidth="1"/>
    <col min="2306" max="2306" width="39.375" style="468" customWidth="1"/>
    <col min="2307" max="2308" width="10.875" style="468" customWidth="1"/>
    <col min="2309" max="2560" width="10.875" style="468"/>
    <col min="2561" max="2561" width="5.5" style="468" customWidth="1"/>
    <col min="2562" max="2562" width="39.375" style="468" customWidth="1"/>
    <col min="2563" max="2564" width="10.875" style="468" customWidth="1"/>
    <col min="2565" max="2816" width="10.875" style="468"/>
    <col min="2817" max="2817" width="5.5" style="468" customWidth="1"/>
    <col min="2818" max="2818" width="39.375" style="468" customWidth="1"/>
    <col min="2819" max="2820" width="10.875" style="468" customWidth="1"/>
    <col min="2821" max="3072" width="10.875" style="468"/>
    <col min="3073" max="3073" width="5.5" style="468" customWidth="1"/>
    <col min="3074" max="3074" width="39.375" style="468" customWidth="1"/>
    <col min="3075" max="3076" width="10.875" style="468" customWidth="1"/>
    <col min="3077" max="3328" width="10.875" style="468"/>
    <col min="3329" max="3329" width="5.5" style="468" customWidth="1"/>
    <col min="3330" max="3330" width="39.375" style="468" customWidth="1"/>
    <col min="3331" max="3332" width="10.875" style="468" customWidth="1"/>
    <col min="3333" max="3584" width="10.875" style="468"/>
    <col min="3585" max="3585" width="5.5" style="468" customWidth="1"/>
    <col min="3586" max="3586" width="39.375" style="468" customWidth="1"/>
    <col min="3587" max="3588" width="10.875" style="468" customWidth="1"/>
    <col min="3589" max="3840" width="10.875" style="468"/>
    <col min="3841" max="3841" width="5.5" style="468" customWidth="1"/>
    <col min="3842" max="3842" width="39.375" style="468" customWidth="1"/>
    <col min="3843" max="3844" width="10.875" style="468" customWidth="1"/>
    <col min="3845" max="4096" width="10.875" style="468"/>
    <col min="4097" max="4097" width="5.5" style="468" customWidth="1"/>
    <col min="4098" max="4098" width="39.375" style="468" customWidth="1"/>
    <col min="4099" max="4100" width="10.875" style="468" customWidth="1"/>
    <col min="4101" max="4352" width="10.875" style="468"/>
    <col min="4353" max="4353" width="5.5" style="468" customWidth="1"/>
    <col min="4354" max="4354" width="39.375" style="468" customWidth="1"/>
    <col min="4355" max="4356" width="10.875" style="468" customWidth="1"/>
    <col min="4357" max="4608" width="10.875" style="468"/>
    <col min="4609" max="4609" width="5.5" style="468" customWidth="1"/>
    <col min="4610" max="4610" width="39.375" style="468" customWidth="1"/>
    <col min="4611" max="4612" width="10.875" style="468" customWidth="1"/>
    <col min="4613" max="4864" width="10.875" style="468"/>
    <col min="4865" max="4865" width="5.5" style="468" customWidth="1"/>
    <col min="4866" max="4866" width="39.375" style="468" customWidth="1"/>
    <col min="4867" max="4868" width="10.875" style="468" customWidth="1"/>
    <col min="4869" max="5120" width="10.875" style="468"/>
    <col min="5121" max="5121" width="5.5" style="468" customWidth="1"/>
    <col min="5122" max="5122" width="39.375" style="468" customWidth="1"/>
    <col min="5123" max="5124" width="10.875" style="468" customWidth="1"/>
    <col min="5125" max="5376" width="10.875" style="468"/>
    <col min="5377" max="5377" width="5.5" style="468" customWidth="1"/>
    <col min="5378" max="5378" width="39.375" style="468" customWidth="1"/>
    <col min="5379" max="5380" width="10.875" style="468" customWidth="1"/>
    <col min="5381" max="5632" width="10.875" style="468"/>
    <col min="5633" max="5633" width="5.5" style="468" customWidth="1"/>
    <col min="5634" max="5634" width="39.375" style="468" customWidth="1"/>
    <col min="5635" max="5636" width="10.875" style="468" customWidth="1"/>
    <col min="5637" max="5888" width="10.875" style="468"/>
    <col min="5889" max="5889" width="5.5" style="468" customWidth="1"/>
    <col min="5890" max="5890" width="39.375" style="468" customWidth="1"/>
    <col min="5891" max="5892" width="10.875" style="468" customWidth="1"/>
    <col min="5893" max="6144" width="10.875" style="468"/>
    <col min="6145" max="6145" width="5.5" style="468" customWidth="1"/>
    <col min="6146" max="6146" width="39.375" style="468" customWidth="1"/>
    <col min="6147" max="6148" width="10.875" style="468" customWidth="1"/>
    <col min="6149" max="6400" width="10.875" style="468"/>
    <col min="6401" max="6401" width="5.5" style="468" customWidth="1"/>
    <col min="6402" max="6402" width="39.375" style="468" customWidth="1"/>
    <col min="6403" max="6404" width="10.875" style="468" customWidth="1"/>
    <col min="6405" max="6656" width="10.875" style="468"/>
    <col min="6657" max="6657" width="5.5" style="468" customWidth="1"/>
    <col min="6658" max="6658" width="39.375" style="468" customWidth="1"/>
    <col min="6659" max="6660" width="10.875" style="468" customWidth="1"/>
    <col min="6661" max="6912" width="10.875" style="468"/>
    <col min="6913" max="6913" width="5.5" style="468" customWidth="1"/>
    <col min="6914" max="6914" width="39.375" style="468" customWidth="1"/>
    <col min="6915" max="6916" width="10.875" style="468" customWidth="1"/>
    <col min="6917" max="7168" width="10.875" style="468"/>
    <col min="7169" max="7169" width="5.5" style="468" customWidth="1"/>
    <col min="7170" max="7170" width="39.375" style="468" customWidth="1"/>
    <col min="7171" max="7172" width="10.875" style="468" customWidth="1"/>
    <col min="7173" max="7424" width="10.875" style="468"/>
    <col min="7425" max="7425" width="5.5" style="468" customWidth="1"/>
    <col min="7426" max="7426" width="39.375" style="468" customWidth="1"/>
    <col min="7427" max="7428" width="10.875" style="468" customWidth="1"/>
    <col min="7429" max="7680" width="10.875" style="468"/>
    <col min="7681" max="7681" width="5.5" style="468" customWidth="1"/>
    <col min="7682" max="7682" width="39.375" style="468" customWidth="1"/>
    <col min="7683" max="7684" width="10.875" style="468" customWidth="1"/>
    <col min="7685" max="7936" width="10.875" style="468"/>
    <col min="7937" max="7937" width="5.5" style="468" customWidth="1"/>
    <col min="7938" max="7938" width="39.375" style="468" customWidth="1"/>
    <col min="7939" max="7940" width="10.875" style="468" customWidth="1"/>
    <col min="7941" max="8192" width="10.875" style="468"/>
    <col min="8193" max="8193" width="5.5" style="468" customWidth="1"/>
    <col min="8194" max="8194" width="39.375" style="468" customWidth="1"/>
    <col min="8195" max="8196" width="10.875" style="468" customWidth="1"/>
    <col min="8197" max="8448" width="10.875" style="468"/>
    <col min="8449" max="8449" width="5.5" style="468" customWidth="1"/>
    <col min="8450" max="8450" width="39.375" style="468" customWidth="1"/>
    <col min="8451" max="8452" width="10.875" style="468" customWidth="1"/>
    <col min="8453" max="8704" width="10.875" style="468"/>
    <col min="8705" max="8705" width="5.5" style="468" customWidth="1"/>
    <col min="8706" max="8706" width="39.375" style="468" customWidth="1"/>
    <col min="8707" max="8708" width="10.875" style="468" customWidth="1"/>
    <col min="8709" max="8960" width="10.875" style="468"/>
    <col min="8961" max="8961" width="5.5" style="468" customWidth="1"/>
    <col min="8962" max="8962" width="39.375" style="468" customWidth="1"/>
    <col min="8963" max="8964" width="10.875" style="468" customWidth="1"/>
    <col min="8965" max="9216" width="10.875" style="468"/>
    <col min="9217" max="9217" width="5.5" style="468" customWidth="1"/>
    <col min="9218" max="9218" width="39.375" style="468" customWidth="1"/>
    <col min="9219" max="9220" width="10.875" style="468" customWidth="1"/>
    <col min="9221" max="9472" width="10.875" style="468"/>
    <col min="9473" max="9473" width="5.5" style="468" customWidth="1"/>
    <col min="9474" max="9474" width="39.375" style="468" customWidth="1"/>
    <col min="9475" max="9476" width="10.875" style="468" customWidth="1"/>
    <col min="9477" max="9728" width="10.875" style="468"/>
    <col min="9729" max="9729" width="5.5" style="468" customWidth="1"/>
    <col min="9730" max="9730" width="39.375" style="468" customWidth="1"/>
    <col min="9731" max="9732" width="10.875" style="468" customWidth="1"/>
    <col min="9733" max="9984" width="10.875" style="468"/>
    <col min="9985" max="9985" width="5.5" style="468" customWidth="1"/>
    <col min="9986" max="9986" width="39.375" style="468" customWidth="1"/>
    <col min="9987" max="9988" width="10.875" style="468" customWidth="1"/>
    <col min="9989" max="10240" width="10.875" style="468"/>
    <col min="10241" max="10241" width="5.5" style="468" customWidth="1"/>
    <col min="10242" max="10242" width="39.375" style="468" customWidth="1"/>
    <col min="10243" max="10244" width="10.875" style="468" customWidth="1"/>
    <col min="10245" max="10496" width="10.875" style="468"/>
    <col min="10497" max="10497" width="5.5" style="468" customWidth="1"/>
    <col min="10498" max="10498" width="39.375" style="468" customWidth="1"/>
    <col min="10499" max="10500" width="10.875" style="468" customWidth="1"/>
    <col min="10501" max="10752" width="10.875" style="468"/>
    <col min="10753" max="10753" width="5.5" style="468" customWidth="1"/>
    <col min="10754" max="10754" width="39.375" style="468" customWidth="1"/>
    <col min="10755" max="10756" width="10.875" style="468" customWidth="1"/>
    <col min="10757" max="11008" width="10.875" style="468"/>
    <col min="11009" max="11009" width="5.5" style="468" customWidth="1"/>
    <col min="11010" max="11010" width="39.375" style="468" customWidth="1"/>
    <col min="11011" max="11012" width="10.875" style="468" customWidth="1"/>
    <col min="11013" max="11264" width="10.875" style="468"/>
    <col min="11265" max="11265" width="5.5" style="468" customWidth="1"/>
    <col min="11266" max="11266" width="39.375" style="468" customWidth="1"/>
    <col min="11267" max="11268" width="10.875" style="468" customWidth="1"/>
    <col min="11269" max="11520" width="10.875" style="468"/>
    <col min="11521" max="11521" width="5.5" style="468" customWidth="1"/>
    <col min="11522" max="11522" width="39.375" style="468" customWidth="1"/>
    <col min="11523" max="11524" width="10.875" style="468" customWidth="1"/>
    <col min="11525" max="11776" width="10.875" style="468"/>
    <col min="11777" max="11777" width="5.5" style="468" customWidth="1"/>
    <col min="11778" max="11778" width="39.375" style="468" customWidth="1"/>
    <col min="11779" max="11780" width="10.875" style="468" customWidth="1"/>
    <col min="11781" max="12032" width="10.875" style="468"/>
    <col min="12033" max="12033" width="5.5" style="468" customWidth="1"/>
    <col min="12034" max="12034" width="39.375" style="468" customWidth="1"/>
    <col min="12035" max="12036" width="10.875" style="468" customWidth="1"/>
    <col min="12037" max="12288" width="10.875" style="468"/>
    <col min="12289" max="12289" width="5.5" style="468" customWidth="1"/>
    <col min="12290" max="12290" width="39.375" style="468" customWidth="1"/>
    <col min="12291" max="12292" width="10.875" style="468" customWidth="1"/>
    <col min="12293" max="12544" width="10.875" style="468"/>
    <col min="12545" max="12545" width="5.5" style="468" customWidth="1"/>
    <col min="12546" max="12546" width="39.375" style="468" customWidth="1"/>
    <col min="12547" max="12548" width="10.875" style="468" customWidth="1"/>
    <col min="12549" max="12800" width="10.875" style="468"/>
    <col min="12801" max="12801" width="5.5" style="468" customWidth="1"/>
    <col min="12802" max="12802" width="39.375" style="468" customWidth="1"/>
    <col min="12803" max="12804" width="10.875" style="468" customWidth="1"/>
    <col min="12805" max="13056" width="10.875" style="468"/>
    <col min="13057" max="13057" width="5.5" style="468" customWidth="1"/>
    <col min="13058" max="13058" width="39.375" style="468" customWidth="1"/>
    <col min="13059" max="13060" width="10.875" style="468" customWidth="1"/>
    <col min="13061" max="13312" width="10.875" style="468"/>
    <col min="13313" max="13313" width="5.5" style="468" customWidth="1"/>
    <col min="13314" max="13314" width="39.375" style="468" customWidth="1"/>
    <col min="13315" max="13316" width="10.875" style="468" customWidth="1"/>
    <col min="13317" max="13568" width="10.875" style="468"/>
    <col min="13569" max="13569" width="5.5" style="468" customWidth="1"/>
    <col min="13570" max="13570" width="39.375" style="468" customWidth="1"/>
    <col min="13571" max="13572" width="10.875" style="468" customWidth="1"/>
    <col min="13573" max="13824" width="10.875" style="468"/>
    <col min="13825" max="13825" width="5.5" style="468" customWidth="1"/>
    <col min="13826" max="13826" width="39.375" style="468" customWidth="1"/>
    <col min="13827" max="13828" width="10.875" style="468" customWidth="1"/>
    <col min="13829" max="14080" width="10.875" style="468"/>
    <col min="14081" max="14081" width="5.5" style="468" customWidth="1"/>
    <col min="14082" max="14082" width="39.375" style="468" customWidth="1"/>
    <col min="14083" max="14084" width="10.875" style="468" customWidth="1"/>
    <col min="14085" max="14336" width="10.875" style="468"/>
    <col min="14337" max="14337" width="5.5" style="468" customWidth="1"/>
    <col min="14338" max="14338" width="39.375" style="468" customWidth="1"/>
    <col min="14339" max="14340" width="10.875" style="468" customWidth="1"/>
    <col min="14341" max="14592" width="10.875" style="468"/>
    <col min="14593" max="14593" width="5.5" style="468" customWidth="1"/>
    <col min="14594" max="14594" width="39.375" style="468" customWidth="1"/>
    <col min="14595" max="14596" width="10.875" style="468" customWidth="1"/>
    <col min="14597" max="14848" width="10.875" style="468"/>
    <col min="14849" max="14849" width="5.5" style="468" customWidth="1"/>
    <col min="14850" max="14850" width="39.375" style="468" customWidth="1"/>
    <col min="14851" max="14852" width="10.875" style="468" customWidth="1"/>
    <col min="14853" max="15104" width="10.875" style="468"/>
    <col min="15105" max="15105" width="5.5" style="468" customWidth="1"/>
    <col min="15106" max="15106" width="39.375" style="468" customWidth="1"/>
    <col min="15107" max="15108" width="10.875" style="468" customWidth="1"/>
    <col min="15109" max="15360" width="10.875" style="468"/>
    <col min="15361" max="15361" width="5.5" style="468" customWidth="1"/>
    <col min="15362" max="15362" width="39.375" style="468" customWidth="1"/>
    <col min="15363" max="15364" width="10.875" style="468" customWidth="1"/>
    <col min="15365" max="15616" width="10.875" style="468"/>
    <col min="15617" max="15617" width="5.5" style="468" customWidth="1"/>
    <col min="15618" max="15618" width="39.375" style="468" customWidth="1"/>
    <col min="15619" max="15620" width="10.875" style="468" customWidth="1"/>
    <col min="15621" max="15872" width="10.875" style="468"/>
    <col min="15873" max="15873" width="5.5" style="468" customWidth="1"/>
    <col min="15874" max="15874" width="39.375" style="468" customWidth="1"/>
    <col min="15875" max="15876" width="10.875" style="468" customWidth="1"/>
    <col min="15877" max="16128" width="10.875" style="468"/>
    <col min="16129" max="16129" width="5.5" style="468" customWidth="1"/>
    <col min="16130" max="16130" width="39.375" style="468" customWidth="1"/>
    <col min="16131" max="16132" width="10.875" style="468" customWidth="1"/>
    <col min="16133" max="16384" width="10.875" style="468"/>
  </cols>
  <sheetData>
    <row r="2" spans="2:15" ht="20.100000000000001" customHeight="1">
      <c r="B2" s="1156" t="s">
        <v>817</v>
      </c>
      <c r="C2" s="1156"/>
      <c r="D2" s="1156"/>
      <c r="E2" s="1156"/>
      <c r="F2" s="1156"/>
      <c r="G2" s="1156"/>
      <c r="H2" s="1156"/>
      <c r="I2" s="1156"/>
      <c r="J2" s="1156"/>
      <c r="K2" s="1156"/>
      <c r="L2" s="1156"/>
      <c r="M2" s="1156"/>
      <c r="N2" s="1156"/>
      <c r="O2" s="1156"/>
    </row>
    <row r="4" spans="2:15" ht="20.100000000000001" customHeight="1">
      <c r="B4" s="220" t="s">
        <v>816</v>
      </c>
      <c r="C4" s="221">
        <v>2017</v>
      </c>
      <c r="D4" s="221">
        <v>2016</v>
      </c>
      <c r="E4" s="592">
        <v>2015</v>
      </c>
      <c r="F4" s="592">
        <v>2014</v>
      </c>
      <c r="G4" s="461">
        <v>2013</v>
      </c>
      <c r="H4" s="461">
        <v>2012</v>
      </c>
      <c r="I4" s="461">
        <v>2011</v>
      </c>
    </row>
    <row r="5" spans="2:15" ht="20.100000000000001" customHeight="1">
      <c r="B5" s="363" t="s">
        <v>815</v>
      </c>
      <c r="C5" s="982">
        <v>3049</v>
      </c>
      <c r="D5" s="984">
        <v>2783</v>
      </c>
      <c r="E5" s="984">
        <v>3068</v>
      </c>
      <c r="F5" s="984">
        <v>3105</v>
      </c>
      <c r="G5" s="983">
        <v>2731</v>
      </c>
      <c r="H5" s="589">
        <v>3198</v>
      </c>
      <c r="I5" s="589">
        <v>3162</v>
      </c>
    </row>
    <row r="6" spans="2:15" ht="20.100000000000001" customHeight="1">
      <c r="B6" s="363" t="s">
        <v>814</v>
      </c>
      <c r="C6" s="982">
        <v>2584</v>
      </c>
      <c r="D6" s="120">
        <v>3125</v>
      </c>
      <c r="E6" s="120">
        <v>2990</v>
      </c>
      <c r="F6" s="120">
        <v>2901</v>
      </c>
      <c r="G6" s="44">
        <v>3022</v>
      </c>
      <c r="H6" s="366">
        <v>2975</v>
      </c>
      <c r="I6" s="366">
        <v>3888</v>
      </c>
    </row>
    <row r="7" spans="2:15" ht="20.100000000000001" customHeight="1">
      <c r="B7" s="363" t="s">
        <v>684</v>
      </c>
      <c r="C7" s="982">
        <v>1495</v>
      </c>
      <c r="D7" s="351">
        <v>1274</v>
      </c>
      <c r="E7" s="351">
        <v>103</v>
      </c>
      <c r="F7" s="351" t="s">
        <v>14</v>
      </c>
      <c r="G7" s="358" t="s">
        <v>14</v>
      </c>
      <c r="H7" s="366" t="s">
        <v>14</v>
      </c>
      <c r="I7" s="366" t="s">
        <v>14</v>
      </c>
    </row>
    <row r="8" spans="2:15" ht="20.100000000000001" customHeight="1">
      <c r="B8" s="363" t="s">
        <v>813</v>
      </c>
      <c r="C8" s="982">
        <v>1262</v>
      </c>
      <c r="D8" s="120">
        <v>1313</v>
      </c>
      <c r="E8" s="120">
        <v>1237</v>
      </c>
      <c r="F8" s="120">
        <v>1277</v>
      </c>
      <c r="G8" s="44">
        <v>1308</v>
      </c>
      <c r="H8" s="366">
        <v>1168</v>
      </c>
      <c r="I8" s="366">
        <v>1310</v>
      </c>
    </row>
    <row r="9" spans="2:15" ht="20.100000000000001" customHeight="1">
      <c r="B9" s="363" t="s">
        <v>812</v>
      </c>
      <c r="C9" s="982">
        <v>915</v>
      </c>
      <c r="D9" s="120">
        <v>887</v>
      </c>
      <c r="E9" s="120">
        <v>932</v>
      </c>
      <c r="F9" s="120">
        <v>937</v>
      </c>
      <c r="G9" s="44">
        <v>952</v>
      </c>
      <c r="H9" s="366">
        <v>921</v>
      </c>
      <c r="I9" s="366">
        <v>969</v>
      </c>
    </row>
    <row r="10" spans="2:15" ht="20.100000000000001" customHeight="1">
      <c r="B10" s="363" t="s">
        <v>811</v>
      </c>
      <c r="C10" s="982">
        <v>714</v>
      </c>
      <c r="D10" s="120">
        <v>849</v>
      </c>
      <c r="E10" s="120">
        <v>731</v>
      </c>
      <c r="F10" s="120">
        <v>658</v>
      </c>
      <c r="G10" s="44">
        <v>567</v>
      </c>
      <c r="H10" s="366">
        <v>631</v>
      </c>
      <c r="I10" s="366">
        <v>521</v>
      </c>
    </row>
    <row r="11" spans="2:15" ht="20.100000000000001" customHeight="1">
      <c r="B11" s="363" t="s">
        <v>810</v>
      </c>
      <c r="C11" s="376">
        <v>489</v>
      </c>
      <c r="D11" s="351">
        <v>91</v>
      </c>
      <c r="E11" s="351" t="s">
        <v>14</v>
      </c>
      <c r="F11" s="351">
        <v>44</v>
      </c>
      <c r="G11" s="366">
        <v>43</v>
      </c>
      <c r="H11" s="366" t="s">
        <v>14</v>
      </c>
      <c r="I11" s="366" t="s">
        <v>14</v>
      </c>
    </row>
    <row r="12" spans="2:15" ht="20.100000000000001" customHeight="1">
      <c r="B12" s="363" t="s">
        <v>809</v>
      </c>
      <c r="C12" s="982">
        <f>305+63</f>
        <v>368</v>
      </c>
      <c r="D12" s="120">
        <v>371</v>
      </c>
      <c r="E12" s="120">
        <v>336</v>
      </c>
      <c r="F12" s="120">
        <v>344</v>
      </c>
      <c r="G12" s="44">
        <v>378</v>
      </c>
      <c r="H12" s="366">
        <v>358</v>
      </c>
      <c r="I12" s="366">
        <v>369</v>
      </c>
    </row>
    <row r="13" spans="2:15" ht="20.100000000000001" customHeight="1">
      <c r="B13" s="363" t="s">
        <v>808</v>
      </c>
      <c r="C13" s="982">
        <v>281</v>
      </c>
      <c r="D13" s="120">
        <v>294</v>
      </c>
      <c r="E13" s="120">
        <v>289</v>
      </c>
      <c r="F13" s="120">
        <v>290</v>
      </c>
      <c r="G13" s="44">
        <v>272</v>
      </c>
      <c r="H13" s="366">
        <v>268</v>
      </c>
      <c r="I13" s="366">
        <v>287</v>
      </c>
    </row>
    <row r="14" spans="2:15" ht="20.100000000000001" customHeight="1">
      <c r="B14" s="363" t="s">
        <v>807</v>
      </c>
      <c r="C14" s="376">
        <v>41</v>
      </c>
      <c r="D14" s="351" t="s">
        <v>14</v>
      </c>
      <c r="E14" s="351" t="s">
        <v>14</v>
      </c>
      <c r="F14" s="351" t="s">
        <v>14</v>
      </c>
      <c r="G14" s="366" t="s">
        <v>14</v>
      </c>
      <c r="H14" s="366" t="s">
        <v>14</v>
      </c>
      <c r="I14" s="366" t="s">
        <v>14</v>
      </c>
    </row>
    <row r="15" spans="2:15" ht="20.100000000000001" customHeight="1">
      <c r="B15" s="363" t="s">
        <v>806</v>
      </c>
      <c r="C15" s="982">
        <v>0</v>
      </c>
      <c r="D15" s="120">
        <v>0</v>
      </c>
      <c r="E15" s="120">
        <v>529</v>
      </c>
      <c r="F15" s="120">
        <v>2590</v>
      </c>
      <c r="G15" s="44">
        <v>2983</v>
      </c>
      <c r="H15" s="366">
        <v>1900</v>
      </c>
      <c r="I15" s="366">
        <v>2686</v>
      </c>
    </row>
    <row r="16" spans="2:15" ht="20.100000000000001" customHeight="1">
      <c r="B16" s="742" t="s">
        <v>36</v>
      </c>
      <c r="C16" s="981">
        <f>SUM(C5:C15)</f>
        <v>11198</v>
      </c>
      <c r="D16" s="981">
        <v>10987</v>
      </c>
      <c r="E16" s="981">
        <v>10216</v>
      </c>
      <c r="F16" s="981">
        <v>12146</v>
      </c>
      <c r="G16" s="981">
        <v>12257</v>
      </c>
      <c r="H16" s="981">
        <v>11418</v>
      </c>
      <c r="I16" s="981">
        <v>13192</v>
      </c>
    </row>
    <row r="18" spans="2:15" ht="12.95" customHeight="1">
      <c r="B18" s="1189" t="s">
        <v>805</v>
      </c>
      <c r="C18" s="1189"/>
      <c r="D18" s="1188"/>
      <c r="E18" s="1188"/>
      <c r="F18" s="1188"/>
      <c r="G18" s="1188"/>
      <c r="H18" s="1188"/>
      <c r="I18" s="1188"/>
      <c r="J18" s="1188"/>
      <c r="K18" s="1188"/>
      <c r="L18" s="1188"/>
      <c r="M18" s="1188"/>
      <c r="N18" s="1188"/>
      <c r="O18" s="1188"/>
    </row>
    <row r="19" spans="2:15" ht="12.95" customHeight="1">
      <c r="B19" s="1225" t="s">
        <v>804</v>
      </c>
      <c r="C19" s="1188"/>
      <c r="D19" s="1188"/>
      <c r="E19" s="1188"/>
      <c r="F19" s="1188"/>
      <c r="G19" s="1188"/>
      <c r="H19" s="1188"/>
      <c r="I19" s="1188"/>
      <c r="J19" s="1188"/>
      <c r="K19" s="1188"/>
      <c r="L19" s="1188"/>
      <c r="M19" s="1188"/>
      <c r="N19" s="1188"/>
      <c r="O19" s="1188"/>
    </row>
    <row r="20" spans="2:15" ht="12.95" customHeight="1">
      <c r="B20" s="1225" t="s">
        <v>803</v>
      </c>
      <c r="C20" s="1188"/>
      <c r="D20" s="1188"/>
      <c r="E20" s="1188"/>
      <c r="F20" s="1188"/>
      <c r="G20" s="1188"/>
      <c r="H20" s="1188"/>
      <c r="I20" s="1188"/>
      <c r="J20" s="1188"/>
      <c r="K20" s="1188"/>
      <c r="L20" s="1188"/>
      <c r="M20" s="1188"/>
      <c r="N20" s="1188"/>
      <c r="O20" s="1188"/>
    </row>
    <row r="21" spans="2:15" ht="12.95" customHeight="1">
      <c r="B21" s="1225" t="s">
        <v>802</v>
      </c>
      <c r="C21" s="1188"/>
      <c r="D21" s="1188"/>
      <c r="E21" s="1188"/>
      <c r="F21" s="1188"/>
      <c r="G21" s="1188"/>
      <c r="H21" s="1188"/>
      <c r="I21" s="1188"/>
      <c r="J21" s="1188"/>
      <c r="K21" s="1188"/>
      <c r="L21" s="1188"/>
      <c r="M21" s="1188"/>
      <c r="N21" s="1188"/>
      <c r="O21" s="1188"/>
    </row>
  </sheetData>
  <mergeCells count="5">
    <mergeCell ref="B2:O2"/>
    <mergeCell ref="B18:O18"/>
    <mergeCell ref="B19:O19"/>
    <mergeCell ref="B20:O20"/>
    <mergeCell ref="B21:O21"/>
  </mergeCells>
  <pageMargins left="0.74803149606299213" right="0.74803149606299213" top="0.98425196850393704" bottom="0.98425196850393704" header="0.51181102362204722" footer="0.51181102362204722"/>
  <pageSetup paperSize="9" orientation="landscape"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58">
    <tabColor rgb="FF00529E"/>
  </sheetPr>
  <dimension ref="B2:O29"/>
  <sheetViews>
    <sheetView showGridLines="0" view="pageBreakPreview" zoomScaleNormal="140" zoomScaleSheetLayoutView="100" zoomScalePageLayoutView="140" workbookViewId="0"/>
  </sheetViews>
  <sheetFormatPr defaultColWidth="10.875" defaultRowHeight="20.100000000000001" customHeight="1"/>
  <cols>
    <col min="1" max="1" width="5.5" style="468" customWidth="1"/>
    <col min="2" max="2" width="39.375" style="468" customWidth="1"/>
    <col min="3" max="4" width="10.875" style="468" customWidth="1"/>
    <col min="5" max="16384" width="10.875" style="468"/>
  </cols>
  <sheetData>
    <row r="2" spans="2:15" ht="20.100000000000001" customHeight="1">
      <c r="B2" s="1156" t="s">
        <v>824</v>
      </c>
      <c r="C2" s="1156"/>
      <c r="D2" s="1156"/>
      <c r="E2" s="1156"/>
      <c r="F2" s="1156"/>
      <c r="G2" s="1156"/>
      <c r="H2" s="1156"/>
      <c r="I2" s="1156"/>
      <c r="J2" s="1156"/>
      <c r="K2" s="1156"/>
      <c r="L2" s="1156"/>
      <c r="M2" s="1156"/>
      <c r="N2" s="1156"/>
      <c r="O2" s="1156"/>
    </row>
    <row r="4" spans="2:15" ht="20.100000000000001" customHeight="1">
      <c r="B4" s="993" t="s">
        <v>823</v>
      </c>
      <c r="C4" s="221">
        <v>2017</v>
      </c>
      <c r="D4" s="221">
        <v>2016</v>
      </c>
      <c r="E4" s="592">
        <v>2015</v>
      </c>
      <c r="F4" s="592">
        <v>2014</v>
      </c>
      <c r="G4" s="592">
        <v>2013</v>
      </c>
      <c r="H4" s="592">
        <v>2012</v>
      </c>
    </row>
    <row r="5" spans="2:15" ht="20.100000000000001" customHeight="1">
      <c r="B5" s="706" t="s">
        <v>40</v>
      </c>
      <c r="C5" s="624" t="s">
        <v>14</v>
      </c>
      <c r="D5" s="591" t="s">
        <v>14</v>
      </c>
      <c r="E5" s="591" t="s">
        <v>14</v>
      </c>
      <c r="F5" s="591">
        <v>9</v>
      </c>
      <c r="G5" s="590">
        <v>37</v>
      </c>
      <c r="H5" s="589">
        <v>53</v>
      </c>
    </row>
    <row r="6" spans="2:15" ht="20.100000000000001" customHeight="1">
      <c r="B6" s="706" t="s">
        <v>452</v>
      </c>
      <c r="C6" s="624">
        <v>528</v>
      </c>
      <c r="D6" s="351">
        <v>537</v>
      </c>
      <c r="E6" s="351">
        <v>370</v>
      </c>
      <c r="F6" s="351">
        <v>313</v>
      </c>
      <c r="G6" s="358">
        <v>395</v>
      </c>
      <c r="H6" s="366">
        <v>379</v>
      </c>
    </row>
    <row r="7" spans="2:15" ht="20.100000000000001" customHeight="1">
      <c r="B7" s="706" t="s">
        <v>454</v>
      </c>
      <c r="C7" s="624">
        <v>472</v>
      </c>
      <c r="D7" s="351">
        <v>491</v>
      </c>
      <c r="E7" s="351">
        <v>469</v>
      </c>
      <c r="F7" s="351">
        <v>465</v>
      </c>
      <c r="G7" s="358">
        <v>463</v>
      </c>
      <c r="H7" s="366">
        <v>491</v>
      </c>
    </row>
    <row r="8" spans="2:15" ht="20.100000000000001" customHeight="1">
      <c r="B8" s="706" t="s">
        <v>746</v>
      </c>
      <c r="C8" s="624">
        <v>107</v>
      </c>
      <c r="D8" s="351">
        <v>134</v>
      </c>
      <c r="E8" s="351">
        <v>149</v>
      </c>
      <c r="F8" s="351">
        <v>155</v>
      </c>
      <c r="G8" s="358">
        <v>186</v>
      </c>
      <c r="H8" s="366">
        <v>176</v>
      </c>
    </row>
    <row r="9" spans="2:15" ht="20.100000000000001" customHeight="1">
      <c r="B9" s="706" t="s">
        <v>43</v>
      </c>
      <c r="C9" s="624">
        <v>8</v>
      </c>
      <c r="D9" s="351">
        <v>-1</v>
      </c>
      <c r="E9" s="351">
        <v>13</v>
      </c>
      <c r="F9" s="351">
        <v>63</v>
      </c>
      <c r="G9" s="358">
        <v>56</v>
      </c>
      <c r="H9" s="366">
        <v>112</v>
      </c>
    </row>
    <row r="10" spans="2:15" ht="20.100000000000001" customHeight="1">
      <c r="B10" s="648" t="s">
        <v>457</v>
      </c>
      <c r="C10" s="624" t="s">
        <v>14</v>
      </c>
      <c r="D10" s="351" t="s">
        <v>14</v>
      </c>
      <c r="E10" s="351" t="s">
        <v>14</v>
      </c>
      <c r="F10" s="351">
        <v>147</v>
      </c>
      <c r="G10" s="358">
        <v>81</v>
      </c>
      <c r="H10" s="366">
        <v>64</v>
      </c>
    </row>
    <row r="11" spans="2:15" ht="20.100000000000001" customHeight="1">
      <c r="B11" s="648" t="s">
        <v>455</v>
      </c>
      <c r="C11" s="624">
        <v>43</v>
      </c>
      <c r="D11" s="351">
        <v>3</v>
      </c>
      <c r="E11" s="351" t="s">
        <v>14</v>
      </c>
      <c r="F11" s="351" t="s">
        <v>14</v>
      </c>
      <c r="G11" s="358" t="s">
        <v>14</v>
      </c>
      <c r="H11" s="366" t="s">
        <v>14</v>
      </c>
    </row>
    <row r="12" spans="2:15" ht="20.100000000000001" customHeight="1">
      <c r="B12" s="706" t="s">
        <v>432</v>
      </c>
      <c r="C12" s="624">
        <v>87</v>
      </c>
      <c r="D12" s="351">
        <v>78</v>
      </c>
      <c r="E12" s="351">
        <v>62</v>
      </c>
      <c r="F12" s="351">
        <v>65</v>
      </c>
      <c r="G12" s="358">
        <v>58</v>
      </c>
      <c r="H12" s="366">
        <v>54</v>
      </c>
    </row>
    <row r="13" spans="2:15" ht="20.100000000000001" customHeight="1">
      <c r="B13" s="706" t="s">
        <v>422</v>
      </c>
      <c r="C13" s="624">
        <v>175</v>
      </c>
      <c r="D13" s="351">
        <v>181</v>
      </c>
      <c r="E13" s="351">
        <v>173</v>
      </c>
      <c r="F13" s="351">
        <v>155</v>
      </c>
      <c r="G13" s="358">
        <v>154</v>
      </c>
      <c r="H13" s="366">
        <v>178</v>
      </c>
    </row>
    <row r="14" spans="2:15" ht="20.100000000000001" customHeight="1">
      <c r="B14" s="706" t="s">
        <v>822</v>
      </c>
      <c r="C14" s="992" t="s">
        <v>14</v>
      </c>
      <c r="D14" s="351" t="s">
        <v>14</v>
      </c>
      <c r="E14" s="351" t="s">
        <v>14</v>
      </c>
      <c r="F14" s="351" t="s">
        <v>14</v>
      </c>
      <c r="G14" s="358" t="s">
        <v>14</v>
      </c>
      <c r="H14" s="366" t="s">
        <v>14</v>
      </c>
    </row>
    <row r="15" spans="2:15" ht="20.100000000000001" customHeight="1">
      <c r="B15" s="706" t="s">
        <v>431</v>
      </c>
      <c r="C15" s="624">
        <v>80</v>
      </c>
      <c r="D15" s="351">
        <v>54</v>
      </c>
      <c r="E15" s="351">
        <v>59</v>
      </c>
      <c r="F15" s="351">
        <v>63</v>
      </c>
      <c r="G15" s="358">
        <v>45</v>
      </c>
      <c r="H15" s="366">
        <v>7</v>
      </c>
    </row>
    <row r="16" spans="2:15" ht="20.100000000000001" customHeight="1">
      <c r="B16" s="706" t="s">
        <v>821</v>
      </c>
      <c r="C16" s="624">
        <v>76</v>
      </c>
      <c r="D16" s="351">
        <v>116</v>
      </c>
      <c r="E16" s="351">
        <v>119</v>
      </c>
      <c r="F16" s="351">
        <v>94</v>
      </c>
      <c r="G16" s="358">
        <v>92</v>
      </c>
      <c r="H16" s="366">
        <v>123</v>
      </c>
    </row>
    <row r="17" spans="2:15" ht="20.100000000000001" customHeight="1">
      <c r="B17" s="706" t="s">
        <v>429</v>
      </c>
      <c r="C17" s="624">
        <v>147</v>
      </c>
      <c r="D17" s="351">
        <v>162</v>
      </c>
      <c r="E17" s="351">
        <v>150</v>
      </c>
      <c r="F17" s="351">
        <v>131</v>
      </c>
      <c r="G17" s="358">
        <v>126</v>
      </c>
      <c r="H17" s="366">
        <v>125</v>
      </c>
    </row>
    <row r="18" spans="2:15" ht="20.100000000000001" customHeight="1">
      <c r="B18" s="706" t="s">
        <v>428</v>
      </c>
      <c r="C18" s="624">
        <v>285</v>
      </c>
      <c r="D18" s="351">
        <v>296</v>
      </c>
      <c r="E18" s="351">
        <v>301</v>
      </c>
      <c r="F18" s="351">
        <v>286</v>
      </c>
      <c r="G18" s="358">
        <v>296</v>
      </c>
      <c r="H18" s="366">
        <v>257</v>
      </c>
    </row>
    <row r="19" spans="2:15" ht="20.100000000000001" customHeight="1">
      <c r="B19" s="706" t="s">
        <v>435</v>
      </c>
      <c r="C19" s="624">
        <v>515</v>
      </c>
      <c r="D19" s="351">
        <v>304</v>
      </c>
      <c r="E19" s="351">
        <v>306</v>
      </c>
      <c r="F19" s="351">
        <v>286</v>
      </c>
      <c r="G19" s="358">
        <v>252</v>
      </c>
      <c r="H19" s="366">
        <v>239</v>
      </c>
    </row>
    <row r="20" spans="2:15" ht="20.100000000000001" customHeight="1">
      <c r="B20" s="706" t="s">
        <v>442</v>
      </c>
      <c r="C20" s="624">
        <v>368</v>
      </c>
      <c r="D20" s="351">
        <v>374</v>
      </c>
      <c r="E20" s="351">
        <v>341</v>
      </c>
      <c r="F20" s="351">
        <v>351</v>
      </c>
      <c r="G20" s="358">
        <v>347</v>
      </c>
      <c r="H20" s="366">
        <v>375</v>
      </c>
    </row>
    <row r="21" spans="2:15" ht="20.100000000000001" customHeight="1">
      <c r="B21" s="706" t="s">
        <v>437</v>
      </c>
      <c r="C21" s="992" t="s">
        <v>14</v>
      </c>
      <c r="D21" s="351" t="s">
        <v>14</v>
      </c>
      <c r="E21" s="351" t="s">
        <v>14</v>
      </c>
      <c r="F21" s="351" t="s">
        <v>14</v>
      </c>
      <c r="G21" s="358" t="s">
        <v>14</v>
      </c>
      <c r="H21" s="366">
        <v>14</v>
      </c>
    </row>
    <row r="22" spans="2:15" ht="20.100000000000001" customHeight="1">
      <c r="B22" s="706" t="s">
        <v>441</v>
      </c>
      <c r="C22" s="624">
        <v>212</v>
      </c>
      <c r="D22" s="351">
        <v>156</v>
      </c>
      <c r="E22" s="351">
        <v>130</v>
      </c>
      <c r="F22" s="351">
        <v>136</v>
      </c>
      <c r="G22" s="358">
        <v>127</v>
      </c>
      <c r="H22" s="366">
        <v>124</v>
      </c>
    </row>
    <row r="23" spans="2:15" ht="20.100000000000001" customHeight="1">
      <c r="B23" s="706" t="s">
        <v>420</v>
      </c>
      <c r="C23" s="991">
        <v>76</v>
      </c>
      <c r="D23" s="351">
        <v>82</v>
      </c>
      <c r="E23" s="351">
        <v>93</v>
      </c>
      <c r="F23" s="351">
        <v>87</v>
      </c>
      <c r="G23" s="358">
        <v>73</v>
      </c>
      <c r="H23" s="366">
        <v>64</v>
      </c>
    </row>
    <row r="24" spans="2:15" ht="20.100000000000001" customHeight="1">
      <c r="B24" s="706" t="s">
        <v>433</v>
      </c>
      <c r="C24" s="624">
        <v>109</v>
      </c>
      <c r="D24" s="351">
        <v>85</v>
      </c>
      <c r="E24" s="351">
        <v>25</v>
      </c>
      <c r="F24" s="351">
        <v>21</v>
      </c>
      <c r="G24" s="358">
        <v>23</v>
      </c>
      <c r="H24" s="366">
        <v>29</v>
      </c>
    </row>
    <row r="25" spans="2:15" ht="20.100000000000001" customHeight="1">
      <c r="B25" s="990" t="s">
        <v>820</v>
      </c>
      <c r="C25" s="989" t="s">
        <v>14</v>
      </c>
      <c r="D25" s="126" t="s">
        <v>14</v>
      </c>
      <c r="E25" s="126" t="s">
        <v>14</v>
      </c>
      <c r="F25" s="126" t="s">
        <v>14</v>
      </c>
      <c r="G25" s="359">
        <v>51</v>
      </c>
      <c r="H25" s="367">
        <v>67</v>
      </c>
    </row>
    <row r="26" spans="2:15" ht="20.100000000000001" customHeight="1">
      <c r="B26" s="988" t="s">
        <v>36</v>
      </c>
      <c r="C26" s="987">
        <v>3288</v>
      </c>
      <c r="D26" s="986">
        <v>3052</v>
      </c>
      <c r="E26" s="986">
        <v>2760</v>
      </c>
      <c r="F26" s="986">
        <v>2827</v>
      </c>
      <c r="G26" s="986">
        <v>2862</v>
      </c>
      <c r="H26" s="985">
        <v>2931</v>
      </c>
    </row>
    <row r="28" spans="2:15" ht="14.1" customHeight="1">
      <c r="B28" s="1188" t="s">
        <v>819</v>
      </c>
      <c r="C28" s="1188"/>
      <c r="D28" s="1188"/>
      <c r="E28" s="1188"/>
      <c r="F28" s="1188"/>
      <c r="G28" s="1188"/>
      <c r="H28" s="1188"/>
      <c r="I28" s="1188"/>
      <c r="J28" s="1188"/>
      <c r="K28" s="1188"/>
      <c r="L28" s="1188"/>
      <c r="M28" s="1188"/>
      <c r="N28" s="1188"/>
      <c r="O28" s="1188"/>
    </row>
    <row r="29" spans="2:15" ht="20.100000000000001" customHeight="1">
      <c r="B29" s="1188" t="s">
        <v>818</v>
      </c>
      <c r="C29" s="1188"/>
      <c r="D29" s="1188"/>
      <c r="E29" s="1188"/>
      <c r="F29" s="1188"/>
      <c r="G29" s="1188"/>
      <c r="H29" s="1188"/>
      <c r="I29" s="1188"/>
      <c r="J29" s="1188"/>
      <c r="K29" s="1188"/>
      <c r="L29" s="1188"/>
      <c r="M29" s="1188"/>
      <c r="N29" s="1188"/>
      <c r="O29" s="1188"/>
    </row>
  </sheetData>
  <mergeCells count="3">
    <mergeCell ref="B2:O2"/>
    <mergeCell ref="B28:O28"/>
    <mergeCell ref="B29:O29"/>
  </mergeCells>
  <pageMargins left="0.74803149606299213" right="0.74803149606299213" top="0.98425196850393704" bottom="0.98425196850393704" header="0.51181102362204722" footer="0.51181102362204722"/>
  <pageSetup paperSize="9" scale="72" orientation="landscape" horizontalDpi="4294967292" verticalDpi="4294967292"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59">
    <tabColor rgb="FF00A37F"/>
  </sheetPr>
  <dimension ref="A2:G19"/>
  <sheetViews>
    <sheetView showGridLines="0" view="pageBreakPreview" zoomScaleNormal="115" zoomScaleSheetLayoutView="100" zoomScalePageLayoutView="115" workbookViewId="0">
      <selection activeCell="C22" sqref="C22"/>
    </sheetView>
  </sheetViews>
  <sheetFormatPr defaultColWidth="10.875" defaultRowHeight="20.100000000000001" customHeight="1"/>
  <cols>
    <col min="1" max="1" width="5.5" style="451" customWidth="1"/>
    <col min="2" max="2" width="73" style="451" customWidth="1"/>
    <col min="3" max="4" width="10.875" style="451" customWidth="1"/>
    <col min="5" max="7" width="10.875" style="451"/>
    <col min="8" max="8" width="0.125" style="451" customWidth="1"/>
    <col min="9" max="12" width="10.875" style="451"/>
    <col min="13" max="13" width="10.375" style="451" customWidth="1"/>
    <col min="14" max="14" width="0" style="451" hidden="1" customWidth="1"/>
    <col min="15" max="16384" width="10.875" style="451"/>
  </cols>
  <sheetData>
    <row r="2" spans="2:7" ht="20.100000000000001" customHeight="1">
      <c r="B2" s="1156" t="s">
        <v>369</v>
      </c>
      <c r="C2" s="1156"/>
      <c r="D2" s="1156"/>
      <c r="E2" s="1156"/>
      <c r="F2" s="1156"/>
      <c r="G2" s="1156"/>
    </row>
    <row r="3" spans="2:7" ht="20.100000000000001" customHeight="1">
      <c r="B3" s="213"/>
      <c r="C3" s="213"/>
      <c r="D3" s="213"/>
    </row>
    <row r="4" spans="2:7" ht="20.100000000000001" customHeight="1">
      <c r="B4" s="217" t="s">
        <v>13</v>
      </c>
      <c r="C4" s="218">
        <v>2017</v>
      </c>
      <c r="D4" s="218">
        <v>2016</v>
      </c>
      <c r="E4" s="216">
        <v>2015</v>
      </c>
      <c r="F4" s="216">
        <v>2014</v>
      </c>
      <c r="G4" s="215">
        <v>2013</v>
      </c>
    </row>
    <row r="5" spans="2:7" ht="20.100000000000001" customHeight="1">
      <c r="B5" s="363" t="s">
        <v>219</v>
      </c>
      <c r="C5" s="376">
        <v>3790</v>
      </c>
      <c r="D5" s="351">
        <v>4195</v>
      </c>
      <c r="E5" s="351">
        <v>4839</v>
      </c>
      <c r="F5" s="576">
        <v>2489</v>
      </c>
      <c r="G5" s="578">
        <v>1857</v>
      </c>
    </row>
    <row r="6" spans="2:7" ht="20.100000000000001" customHeight="1">
      <c r="B6" s="363" t="s">
        <v>186</v>
      </c>
      <c r="C6" s="376">
        <v>408</v>
      </c>
      <c r="D6" s="351">
        <v>581</v>
      </c>
      <c r="E6" s="351">
        <v>496</v>
      </c>
      <c r="F6" s="576">
        <v>629</v>
      </c>
      <c r="G6" s="578">
        <v>583</v>
      </c>
    </row>
    <row r="7" spans="2:7" ht="20.100000000000001" customHeight="1">
      <c r="B7" s="363" t="s">
        <v>220</v>
      </c>
      <c r="C7" s="376">
        <v>1734</v>
      </c>
      <c r="D7" s="351">
        <v>1861</v>
      </c>
      <c r="E7" s="351">
        <v>1875</v>
      </c>
      <c r="F7" s="576">
        <v>2022</v>
      </c>
      <c r="G7" s="575">
        <v>2708</v>
      </c>
    </row>
    <row r="8" spans="2:7" ht="20.100000000000001" customHeight="1">
      <c r="B8" s="363" t="s">
        <v>221</v>
      </c>
      <c r="C8" s="376">
        <v>1625</v>
      </c>
      <c r="D8" s="351">
        <v>1642</v>
      </c>
      <c r="E8" s="351">
        <f>+'Organic investments by bs (p21)'!E7</f>
        <v>850</v>
      </c>
      <c r="F8" s="576">
        <v>1944</v>
      </c>
      <c r="G8" s="575">
        <v>2530</v>
      </c>
    </row>
    <row r="9" spans="2:7" ht="20.100000000000001" customHeight="1">
      <c r="B9" s="363" t="s">
        <v>185</v>
      </c>
      <c r="C9" s="377">
        <v>2820</v>
      </c>
      <c r="D9" s="126">
        <v>88</v>
      </c>
      <c r="E9" s="126">
        <v>3494</v>
      </c>
      <c r="F9" s="577">
        <v>192</v>
      </c>
      <c r="G9" s="575">
        <v>365</v>
      </c>
    </row>
    <row r="10" spans="2:7" ht="20.100000000000001" customHeight="1">
      <c r="B10" s="363" t="s">
        <v>184</v>
      </c>
      <c r="C10" s="376">
        <v>7440</v>
      </c>
      <c r="D10" s="351">
        <v>4585</v>
      </c>
      <c r="E10" s="351">
        <v>6435</v>
      </c>
      <c r="F10" s="576">
        <v>6302</v>
      </c>
      <c r="G10" s="575">
        <v>4260</v>
      </c>
    </row>
    <row r="11" spans="2:7" s="471" customFormat="1" ht="20.100000000000001" customHeight="1">
      <c r="B11" s="563" t="s">
        <v>370</v>
      </c>
      <c r="C11" s="562">
        <v>4728</v>
      </c>
      <c r="D11" s="561">
        <v>4873</v>
      </c>
      <c r="E11" s="561">
        <v>5788</v>
      </c>
      <c r="F11" s="560">
        <v>4033</v>
      </c>
      <c r="G11" s="559">
        <v>2969</v>
      </c>
    </row>
    <row r="12" spans="2:7" s="471" customFormat="1" ht="6" customHeight="1"/>
    <row r="13" spans="2:7" s="471" customFormat="1" ht="6" customHeight="1"/>
    <row r="14" spans="2:7" s="471" customFormat="1" ht="15" customHeight="1">
      <c r="B14" s="558" t="s">
        <v>371</v>
      </c>
      <c r="C14" s="464"/>
      <c r="D14" s="464"/>
      <c r="E14" s="557"/>
      <c r="F14" s="556"/>
      <c r="G14" s="556"/>
    </row>
    <row r="15" spans="2:7" s="471" customFormat="1" ht="13.5" customHeight="1">
      <c r="B15" s="464" t="s">
        <v>363</v>
      </c>
      <c r="C15" s="464"/>
      <c r="D15" s="464"/>
      <c r="E15" s="464"/>
      <c r="F15" s="464"/>
      <c r="G15" s="464"/>
    </row>
    <row r="16" spans="2:7" s="471" customFormat="1" ht="13.5" customHeight="1">
      <c r="B16" s="464" t="s">
        <v>362</v>
      </c>
      <c r="C16" s="464"/>
      <c r="D16" s="464"/>
      <c r="E16" s="464"/>
      <c r="F16" s="464"/>
      <c r="G16" s="464"/>
    </row>
    <row r="17" spans="1:7" s="471" customFormat="1" ht="13.5" customHeight="1">
      <c r="B17" s="464" t="s">
        <v>361</v>
      </c>
      <c r="E17" s="464"/>
      <c r="F17" s="464"/>
      <c r="G17" s="464"/>
    </row>
    <row r="18" spans="1:7" s="471" customFormat="1" ht="13.5" customHeight="1">
      <c r="A18" s="464"/>
      <c r="B18" s="464" t="s">
        <v>360</v>
      </c>
      <c r="E18" s="464"/>
      <c r="F18" s="464"/>
      <c r="G18" s="464"/>
    </row>
    <row r="19" spans="1:7" ht="15.75">
      <c r="B19" s="1161"/>
      <c r="C19" s="1161"/>
      <c r="D19" s="1161"/>
      <c r="E19" s="1161"/>
      <c r="F19" s="1161"/>
      <c r="G19" s="1161"/>
    </row>
  </sheetData>
  <mergeCells count="2">
    <mergeCell ref="B2:G2"/>
    <mergeCell ref="B19:G19"/>
  </mergeCells>
  <pageMargins left="0.74803149606299213" right="0.74803149606299213" top="0.98425196850393704" bottom="0.98425196850393704" header="0.51181102362204722" footer="0.51181102362204722"/>
  <pageSetup paperSize="9" scale="70"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6">
    <tabColor rgb="FF0076BD"/>
  </sheetPr>
  <dimension ref="B2:AA64"/>
  <sheetViews>
    <sheetView showGridLines="0" view="pageBreakPreview" zoomScaleNormal="85" zoomScaleSheetLayoutView="100" zoomScalePageLayoutView="85" workbookViewId="0">
      <selection activeCell="H17" sqref="H17"/>
    </sheetView>
  </sheetViews>
  <sheetFormatPr defaultColWidth="11" defaultRowHeight="20.100000000000001" customHeight="1"/>
  <cols>
    <col min="1" max="1" width="5.5" style="451" customWidth="1"/>
    <col min="2" max="2" width="59" style="451" customWidth="1"/>
    <col min="3" max="7" width="11.125" style="451" bestFit="1" customWidth="1"/>
    <col min="8" max="8" width="5.125" style="451" customWidth="1"/>
    <col min="9" max="13" width="11.125" style="451" bestFit="1" customWidth="1"/>
    <col min="14" max="14" width="10.375" style="451" customWidth="1"/>
    <col min="15" max="19" width="11.125" style="451" bestFit="1" customWidth="1"/>
    <col min="20" max="20" width="11" style="451"/>
    <col min="21" max="25" width="11.125" style="451" bestFit="1" customWidth="1"/>
    <col min="26" max="16384" width="11" style="451"/>
  </cols>
  <sheetData>
    <row r="2" spans="2:27" ht="20.100000000000001" customHeight="1">
      <c r="B2" s="1156" t="str">
        <f>UPPER("Financial highlights by quarter")</f>
        <v>FINANCIAL HIGHLIGHTS BY QUARTER</v>
      </c>
      <c r="C2" s="1156"/>
      <c r="D2" s="1156"/>
      <c r="E2" s="1156"/>
      <c r="F2" s="1156"/>
      <c r="G2" s="1156"/>
      <c r="H2" s="449"/>
      <c r="I2" s="14"/>
      <c r="J2" s="449"/>
      <c r="K2" s="449"/>
      <c r="L2" s="449"/>
      <c r="M2" s="449"/>
      <c r="N2" s="449"/>
      <c r="O2" s="449"/>
      <c r="P2" s="449"/>
      <c r="Q2" s="449"/>
      <c r="R2" s="449"/>
      <c r="S2" s="449"/>
      <c r="T2" s="449"/>
      <c r="U2" s="449"/>
      <c r="V2" s="449"/>
      <c r="W2" s="449"/>
      <c r="X2" s="449"/>
      <c r="Y2" s="449"/>
    </row>
    <row r="3" spans="2:27" ht="20.100000000000001" customHeight="1">
      <c r="B3" s="449"/>
      <c r="C3" s="449"/>
      <c r="D3" s="449"/>
    </row>
    <row r="4" spans="2:27" ht="20.100000000000001" customHeight="1">
      <c r="B4" s="3" t="s">
        <v>159</v>
      </c>
      <c r="C4" s="1167"/>
      <c r="D4" s="1167"/>
      <c r="E4" s="1167"/>
      <c r="F4" s="1167"/>
      <c r="G4" s="1167"/>
      <c r="I4" s="1168"/>
      <c r="J4" s="1168"/>
      <c r="K4" s="1168"/>
      <c r="L4" s="1168"/>
      <c r="M4" s="1168"/>
      <c r="O4" s="1165"/>
      <c r="P4" s="1165"/>
      <c r="Q4" s="1165"/>
      <c r="R4" s="1165"/>
      <c r="S4" s="1165"/>
      <c r="U4" s="1165"/>
      <c r="V4" s="1165"/>
      <c r="W4" s="1165"/>
      <c r="X4" s="1165"/>
      <c r="Y4" s="1165"/>
    </row>
    <row r="5" spans="2:27" ht="20.100000000000001" customHeight="1">
      <c r="C5" s="340">
        <v>2017</v>
      </c>
      <c r="D5" s="1166" t="s">
        <v>5</v>
      </c>
      <c r="E5" s="1166"/>
      <c r="F5" s="1166"/>
      <c r="G5" s="1166"/>
      <c r="I5" s="340">
        <v>2016</v>
      </c>
      <c r="J5" s="1166" t="s">
        <v>5</v>
      </c>
      <c r="K5" s="1166"/>
      <c r="L5" s="1166"/>
      <c r="M5" s="1166"/>
      <c r="O5" s="340">
        <v>2015</v>
      </c>
      <c r="P5" s="1166" t="s">
        <v>5</v>
      </c>
      <c r="Q5" s="1166"/>
      <c r="R5" s="1166"/>
      <c r="S5" s="1166"/>
      <c r="T5" s="460"/>
      <c r="Z5" s="460"/>
    </row>
    <row r="6" spans="2:27" ht="20.100000000000001" customHeight="1">
      <c r="B6" s="427"/>
      <c r="C6" s="345" t="s">
        <v>6</v>
      </c>
      <c r="D6" s="321" t="s">
        <v>7</v>
      </c>
      <c r="E6" s="321" t="s">
        <v>8</v>
      </c>
      <c r="F6" s="321" t="s">
        <v>9</v>
      </c>
      <c r="G6" s="321" t="s">
        <v>10</v>
      </c>
      <c r="I6" s="345" t="s">
        <v>6</v>
      </c>
      <c r="J6" s="321" t="s">
        <v>7</v>
      </c>
      <c r="K6" s="321" t="s">
        <v>8</v>
      </c>
      <c r="L6" s="321" t="s">
        <v>9</v>
      </c>
      <c r="M6" s="321" t="s">
        <v>10</v>
      </c>
      <c r="O6" s="345" t="s">
        <v>6</v>
      </c>
      <c r="P6" s="321" t="s">
        <v>7</v>
      </c>
      <c r="Q6" s="321" t="s">
        <v>8</v>
      </c>
      <c r="R6" s="321" t="s">
        <v>9</v>
      </c>
      <c r="S6" s="321" t="s">
        <v>10</v>
      </c>
      <c r="T6" s="460"/>
      <c r="Z6" s="460"/>
    </row>
    <row r="7" spans="2:27" ht="20.100000000000001" customHeight="1">
      <c r="B7" s="9" t="s">
        <v>2</v>
      </c>
      <c r="C7" s="86">
        <f>+'Financial highlights (p7)'!C9</f>
        <v>10578</v>
      </c>
      <c r="D7" s="86">
        <v>2558</v>
      </c>
      <c r="E7" s="86">
        <v>2474</v>
      </c>
      <c r="F7" s="86">
        <v>2674</v>
      </c>
      <c r="G7" s="86">
        <v>2872</v>
      </c>
      <c r="I7" s="106">
        <v>8287</v>
      </c>
      <c r="J7" s="106">
        <v>1636</v>
      </c>
      <c r="K7" s="106">
        <v>2174</v>
      </c>
      <c r="L7" s="106">
        <v>2070</v>
      </c>
      <c r="M7" s="106">
        <v>2407</v>
      </c>
      <c r="O7" s="106">
        <v>10518</v>
      </c>
      <c r="P7" s="106">
        <v>2602</v>
      </c>
      <c r="Q7" s="106">
        <v>3085</v>
      </c>
      <c r="R7" s="106">
        <v>2756</v>
      </c>
      <c r="S7" s="106">
        <v>2075</v>
      </c>
      <c r="T7" s="460"/>
      <c r="Z7" s="460"/>
    </row>
    <row r="8" spans="2:27" ht="20.100000000000001" customHeight="1">
      <c r="B8" s="10" t="s">
        <v>266</v>
      </c>
      <c r="C8" s="87">
        <f>+'Financial highlights (p7)'!C10</f>
        <v>4.12</v>
      </c>
      <c r="D8" s="87">
        <v>1.01</v>
      </c>
      <c r="E8" s="87">
        <v>0.97</v>
      </c>
      <c r="F8" s="87">
        <v>1.04</v>
      </c>
      <c r="G8" s="87">
        <v>1.1000000000000001</v>
      </c>
      <c r="I8" s="283">
        <v>3.38</v>
      </c>
      <c r="J8" s="283">
        <v>0.68</v>
      </c>
      <c r="K8" s="283">
        <v>0.9</v>
      </c>
      <c r="L8" s="283">
        <v>0.84</v>
      </c>
      <c r="M8" s="283">
        <v>0.96</v>
      </c>
      <c r="O8" s="283">
        <v>4.51</v>
      </c>
      <c r="P8" s="283">
        <v>1.1299999999999999</v>
      </c>
      <c r="Q8" s="283">
        <v>1.34</v>
      </c>
      <c r="R8" s="283">
        <v>1.17</v>
      </c>
      <c r="S8" s="283">
        <v>0.88</v>
      </c>
      <c r="T8" s="460"/>
      <c r="Z8" s="460"/>
    </row>
    <row r="9" spans="2:27" ht="20.100000000000001" customHeight="1">
      <c r="B9" s="11" t="s">
        <v>1</v>
      </c>
      <c r="C9" s="88">
        <f>+'Financial highlights (p7)'!C8</f>
        <v>8631</v>
      </c>
      <c r="D9" s="88">
        <v>2849</v>
      </c>
      <c r="E9" s="88">
        <v>2037</v>
      </c>
      <c r="F9" s="88">
        <v>2724</v>
      </c>
      <c r="G9" s="88">
        <v>1021</v>
      </c>
      <c r="I9" s="108">
        <v>6196</v>
      </c>
      <c r="J9" s="108">
        <v>1606</v>
      </c>
      <c r="K9" s="108">
        <v>2088</v>
      </c>
      <c r="L9" s="108">
        <v>1954</v>
      </c>
      <c r="M9" s="108">
        <v>548</v>
      </c>
      <c r="O9" s="108">
        <v>5087</v>
      </c>
      <c r="P9" s="108">
        <v>2663</v>
      </c>
      <c r="Q9" s="108">
        <v>2971</v>
      </c>
      <c r="R9" s="108">
        <v>1079</v>
      </c>
      <c r="S9" s="108">
        <v>-1626</v>
      </c>
      <c r="T9" s="12"/>
      <c r="Z9" s="12"/>
    </row>
    <row r="10" spans="2:27" ht="20.100000000000001" customHeight="1">
      <c r="B10" s="11" t="s">
        <v>15</v>
      </c>
      <c r="C10" s="104">
        <f>+'Financial highlights (p7)'!C13</f>
        <v>0.13800000000000001</v>
      </c>
      <c r="D10" s="104">
        <v>0.22700000000000001</v>
      </c>
      <c r="E10" s="104">
        <v>0.20300000000000001</v>
      </c>
      <c r="F10" s="104">
        <v>0.18</v>
      </c>
      <c r="G10" s="104">
        <v>0.13800000000000001</v>
      </c>
      <c r="I10" s="109">
        <v>0.27100000000000002</v>
      </c>
      <c r="J10" s="109">
        <v>0.30199999999999999</v>
      </c>
      <c r="K10" s="109">
        <v>0.3</v>
      </c>
      <c r="L10" s="109">
        <v>0.30599999999999999</v>
      </c>
      <c r="M10" s="109">
        <v>0.27100000000000002</v>
      </c>
      <c r="O10" s="109">
        <v>0.28299999999999997</v>
      </c>
      <c r="P10" s="109">
        <v>0.28199999999999997</v>
      </c>
      <c r="Q10" s="109">
        <v>0.25900000000000001</v>
      </c>
      <c r="R10" s="109">
        <v>0.26600000000000001</v>
      </c>
      <c r="S10" s="109">
        <v>0.28299999999999997</v>
      </c>
      <c r="T10" s="460"/>
      <c r="Z10" s="460"/>
    </row>
    <row r="11" spans="2:27" ht="20.100000000000001" customHeight="1">
      <c r="B11" s="10" t="s">
        <v>148</v>
      </c>
      <c r="C11" s="89">
        <v>2528989616</v>
      </c>
      <c r="D11" s="89">
        <v>2453937714</v>
      </c>
      <c r="E11" s="89">
        <v>2501535888</v>
      </c>
      <c r="F11" s="89">
        <v>2502754234</v>
      </c>
      <c r="G11" s="89">
        <f>+C11</f>
        <v>2528989616</v>
      </c>
      <c r="I11" s="110">
        <v>2430365862</v>
      </c>
      <c r="J11" s="110">
        <v>2454029976</v>
      </c>
      <c r="K11" s="110">
        <v>2503262274</v>
      </c>
      <c r="L11" s="110">
        <v>2504029528</v>
      </c>
      <c r="M11" s="110">
        <v>2430365862</v>
      </c>
      <c r="O11" s="110">
        <v>2440057883</v>
      </c>
      <c r="P11" s="110">
        <v>2385555781</v>
      </c>
      <c r="Q11" s="110">
        <v>2396360090</v>
      </c>
      <c r="R11" s="110">
        <v>2415089789</v>
      </c>
      <c r="S11" s="110">
        <v>2440057883</v>
      </c>
      <c r="T11" s="460"/>
      <c r="Z11" s="460"/>
    </row>
    <row r="12" spans="2:27" ht="20.100000000000001" customHeight="1">
      <c r="B12" s="10" t="s">
        <v>16</v>
      </c>
      <c r="C12" s="89" t="e">
        <f>+'Financial highlights (p7)'!#REF!</f>
        <v>#REF!</v>
      </c>
      <c r="D12" s="89">
        <v>2457491053</v>
      </c>
      <c r="E12" s="89">
        <v>2484608123</v>
      </c>
      <c r="F12" s="89">
        <v>2504878256</v>
      </c>
      <c r="G12" s="89">
        <v>2535959002</v>
      </c>
      <c r="I12" s="110">
        <v>2389713936</v>
      </c>
      <c r="J12" s="110">
        <v>2350462067</v>
      </c>
      <c r="K12" s="110">
        <v>2378565375</v>
      </c>
      <c r="L12" s="110">
        <v>2403550668</v>
      </c>
      <c r="M12" s="110">
        <v>2433165882</v>
      </c>
      <c r="O12" s="110">
        <v>2304435542</v>
      </c>
      <c r="P12" s="110">
        <v>2285344747</v>
      </c>
      <c r="Q12" s="110">
        <v>2292139361</v>
      </c>
      <c r="R12" s="110">
        <v>2311978156</v>
      </c>
      <c r="S12" s="110">
        <v>2328765893</v>
      </c>
      <c r="T12" s="460"/>
      <c r="Z12" s="460"/>
    </row>
    <row r="13" spans="2:27" ht="20.100000000000001" customHeight="1">
      <c r="B13" s="10" t="s">
        <v>17</v>
      </c>
      <c r="C13" s="90"/>
      <c r="D13" s="90"/>
      <c r="E13" s="90"/>
      <c r="F13" s="90"/>
      <c r="G13" s="90"/>
      <c r="I13" s="111" t="s">
        <v>14</v>
      </c>
      <c r="J13" s="111" t="s">
        <v>14</v>
      </c>
      <c r="K13" s="111" t="s">
        <v>14</v>
      </c>
      <c r="L13" s="111" t="s">
        <v>14</v>
      </c>
      <c r="M13" s="111" t="s">
        <v>14</v>
      </c>
      <c r="O13" s="111">
        <v>4711935</v>
      </c>
      <c r="P13" s="111" t="s">
        <v>14</v>
      </c>
      <c r="Q13" s="111" t="s">
        <v>14</v>
      </c>
      <c r="R13" s="111">
        <v>4711935</v>
      </c>
      <c r="S13" s="111" t="s">
        <v>14</v>
      </c>
      <c r="T13" s="460"/>
      <c r="Z13" s="460"/>
      <c r="AA13" s="460"/>
    </row>
    <row r="14" spans="2:27" s="364" customFormat="1" ht="20.100000000000001" customHeight="1">
      <c r="B14" s="13" t="s">
        <v>18</v>
      </c>
      <c r="C14" s="91"/>
      <c r="D14" s="308"/>
      <c r="E14" s="308"/>
      <c r="F14" s="91"/>
      <c r="G14" s="308"/>
      <c r="H14" s="451"/>
      <c r="I14" s="284" t="s">
        <v>14</v>
      </c>
      <c r="J14" s="113" t="s">
        <v>14</v>
      </c>
      <c r="K14" s="113" t="s">
        <v>14</v>
      </c>
      <c r="L14" s="284" t="s">
        <v>14</v>
      </c>
      <c r="M14" s="113" t="s">
        <v>14</v>
      </c>
      <c r="N14" s="451"/>
      <c r="O14" s="284">
        <v>0.2</v>
      </c>
      <c r="P14" s="113" t="s">
        <v>14</v>
      </c>
      <c r="Q14" s="113" t="s">
        <v>14</v>
      </c>
      <c r="R14" s="284">
        <v>0.2</v>
      </c>
      <c r="S14" s="113" t="s">
        <v>14</v>
      </c>
      <c r="T14" s="460"/>
      <c r="Z14" s="460"/>
      <c r="AA14" s="460"/>
    </row>
    <row r="15" spans="2:27" ht="20.100000000000001" customHeight="1">
      <c r="B15" s="460"/>
      <c r="C15" s="460"/>
      <c r="D15" s="460"/>
      <c r="E15" s="460"/>
      <c r="F15" s="460"/>
      <c r="G15" s="460"/>
      <c r="I15" s="460"/>
      <c r="J15" s="460"/>
      <c r="K15" s="460"/>
      <c r="L15" s="460"/>
      <c r="M15" s="460"/>
      <c r="O15" s="460"/>
      <c r="P15" s="460"/>
      <c r="Q15" s="460"/>
      <c r="R15" s="460"/>
      <c r="S15" s="460"/>
      <c r="U15" s="460"/>
      <c r="V15" s="460"/>
      <c r="W15" s="460"/>
      <c r="X15" s="460"/>
      <c r="Y15" s="460"/>
      <c r="Z15" s="460"/>
      <c r="AA15" s="460"/>
    </row>
    <row r="16" spans="2:27" ht="20.100000000000001" customHeight="1">
      <c r="B16" s="3" t="s">
        <v>159</v>
      </c>
      <c r="C16" s="1165"/>
      <c r="D16" s="1165"/>
      <c r="E16" s="1165"/>
      <c r="F16" s="1165"/>
      <c r="G16" s="1165"/>
      <c r="I16" s="1165"/>
      <c r="J16" s="1165"/>
      <c r="K16" s="1165"/>
      <c r="L16" s="1165"/>
      <c r="M16" s="1165"/>
      <c r="O16" s="1165"/>
      <c r="P16" s="1165"/>
      <c r="Q16" s="1165"/>
      <c r="R16" s="1165"/>
      <c r="S16" s="1165"/>
      <c r="U16" s="1165"/>
      <c r="V16" s="1165"/>
      <c r="W16" s="1165"/>
      <c r="X16" s="1165"/>
      <c r="Y16" s="1165"/>
      <c r="Z16" s="460"/>
      <c r="AA16" s="460"/>
    </row>
    <row r="17" spans="2:27" ht="20.100000000000001" customHeight="1">
      <c r="C17" s="340">
        <v>2014</v>
      </c>
      <c r="D17" s="1166" t="s">
        <v>5</v>
      </c>
      <c r="E17" s="1166"/>
      <c r="F17" s="1166"/>
      <c r="G17" s="1166"/>
      <c r="I17" s="340">
        <v>2013</v>
      </c>
      <c r="J17" s="1166" t="s">
        <v>5</v>
      </c>
      <c r="K17" s="1166"/>
      <c r="L17" s="1166"/>
      <c r="M17" s="1166"/>
    </row>
    <row r="18" spans="2:27" ht="20.100000000000001" customHeight="1">
      <c r="B18" s="427"/>
      <c r="C18" s="345" t="s">
        <v>6</v>
      </c>
      <c r="D18" s="321" t="s">
        <v>7</v>
      </c>
      <c r="E18" s="321" t="s">
        <v>8</v>
      </c>
      <c r="F18" s="321" t="s">
        <v>9</v>
      </c>
      <c r="G18" s="321" t="s">
        <v>10</v>
      </c>
      <c r="I18" s="345" t="s">
        <v>6</v>
      </c>
      <c r="J18" s="321" t="s">
        <v>7</v>
      </c>
      <c r="K18" s="321" t="s">
        <v>8</v>
      </c>
      <c r="L18" s="321" t="s">
        <v>9</v>
      </c>
      <c r="M18" s="321" t="s">
        <v>10</v>
      </c>
    </row>
    <row r="19" spans="2:27" ht="20.100000000000001" customHeight="1">
      <c r="B19" s="9" t="s">
        <v>2</v>
      </c>
      <c r="C19" s="106">
        <v>12837</v>
      </c>
      <c r="D19" s="106">
        <v>3327</v>
      </c>
      <c r="E19" s="106">
        <v>3151</v>
      </c>
      <c r="F19" s="106">
        <v>3558</v>
      </c>
      <c r="G19" s="106">
        <v>2801</v>
      </c>
      <c r="I19" s="106">
        <v>14292</v>
      </c>
      <c r="J19" s="106">
        <v>3698</v>
      </c>
      <c r="K19" s="106">
        <v>3581</v>
      </c>
      <c r="L19" s="106">
        <v>3628</v>
      </c>
      <c r="M19" s="106">
        <v>3385</v>
      </c>
    </row>
    <row r="20" spans="2:27" ht="20.100000000000001" customHeight="1">
      <c r="B20" s="10" t="s">
        <v>187</v>
      </c>
      <c r="C20" s="107">
        <v>5.63</v>
      </c>
      <c r="D20" s="107">
        <v>1.46</v>
      </c>
      <c r="E20" s="107">
        <v>1.38</v>
      </c>
      <c r="F20" s="107">
        <v>1.56</v>
      </c>
      <c r="G20" s="107">
        <v>1.22</v>
      </c>
      <c r="I20" s="107">
        <v>6.29</v>
      </c>
      <c r="J20" s="107">
        <v>1.63</v>
      </c>
      <c r="K20" s="107">
        <v>1.57</v>
      </c>
      <c r="L20" s="107">
        <v>1.59</v>
      </c>
      <c r="M20" s="107">
        <v>1.49</v>
      </c>
    </row>
    <row r="21" spans="2:27" ht="20.100000000000001" customHeight="1">
      <c r="B21" s="11" t="s">
        <v>1</v>
      </c>
      <c r="C21" s="108">
        <v>4244</v>
      </c>
      <c r="D21" s="108">
        <v>3335</v>
      </c>
      <c r="E21" s="108">
        <v>3104</v>
      </c>
      <c r="F21" s="108">
        <v>3463</v>
      </c>
      <c r="G21" s="108">
        <v>-5658</v>
      </c>
      <c r="I21" s="108">
        <v>11228</v>
      </c>
      <c r="J21" s="108">
        <v>1948</v>
      </c>
      <c r="K21" s="108">
        <v>3364</v>
      </c>
      <c r="L21" s="108">
        <v>3682</v>
      </c>
      <c r="M21" s="108">
        <v>2234</v>
      </c>
    </row>
    <row r="22" spans="2:27" ht="20.100000000000001" customHeight="1">
      <c r="B22" s="11" t="s">
        <v>15</v>
      </c>
      <c r="C22" s="109">
        <v>0.313</v>
      </c>
      <c r="D22" s="109">
        <v>0.23499999999999999</v>
      </c>
      <c r="E22" s="109">
        <v>0.27100000000000002</v>
      </c>
      <c r="F22" s="109">
        <v>0.27800000000000002</v>
      </c>
      <c r="G22" s="109">
        <v>0.313</v>
      </c>
      <c r="I22" s="109">
        <v>0.23300000000000001</v>
      </c>
      <c r="J22" s="109">
        <v>0.25900000000000001</v>
      </c>
      <c r="K22" s="109">
        <v>0.27600000000000002</v>
      </c>
      <c r="L22" s="109">
        <v>0.23</v>
      </c>
      <c r="M22" s="109">
        <v>0.23300000000000001</v>
      </c>
    </row>
    <row r="23" spans="2:27" ht="20.100000000000001" customHeight="1">
      <c r="B23" s="10" t="s">
        <v>148</v>
      </c>
      <c r="C23" s="110">
        <v>2385267525</v>
      </c>
      <c r="D23" s="110">
        <v>2378259685</v>
      </c>
      <c r="E23" s="110">
        <v>2382870577</v>
      </c>
      <c r="F23" s="110">
        <v>2384527055</v>
      </c>
      <c r="G23" s="110">
        <v>2385267525</v>
      </c>
      <c r="I23" s="110">
        <v>2377678160</v>
      </c>
      <c r="J23" s="110">
        <v>2365933626</v>
      </c>
      <c r="K23" s="110">
        <v>2376735991</v>
      </c>
      <c r="L23" s="110">
        <v>2377196179</v>
      </c>
      <c r="M23" s="110">
        <v>2377678160</v>
      </c>
    </row>
    <row r="24" spans="2:27" ht="20.100000000000001" customHeight="1">
      <c r="B24" s="10" t="s">
        <v>16</v>
      </c>
      <c r="C24" s="110">
        <v>2281004151</v>
      </c>
      <c r="D24" s="110">
        <v>2276773146</v>
      </c>
      <c r="E24" s="110">
        <v>2281218870</v>
      </c>
      <c r="F24" s="110">
        <v>2284596468</v>
      </c>
      <c r="G24" s="110">
        <v>2286737894</v>
      </c>
      <c r="I24" s="110">
        <v>2271543658</v>
      </c>
      <c r="J24" s="110">
        <v>2269007119</v>
      </c>
      <c r="K24" s="110">
        <v>2274457002</v>
      </c>
      <c r="L24" s="110">
        <v>2274700388</v>
      </c>
      <c r="M24" s="110">
        <v>2275542248</v>
      </c>
    </row>
    <row r="25" spans="2:27" ht="20.100000000000001" customHeight="1">
      <c r="B25" s="10" t="s">
        <v>17</v>
      </c>
      <c r="C25" s="111">
        <v>4386300</v>
      </c>
      <c r="D25" s="111" t="s">
        <v>14</v>
      </c>
      <c r="E25" s="111" t="s">
        <v>14</v>
      </c>
      <c r="F25" s="111">
        <v>4386300</v>
      </c>
      <c r="G25" s="111" t="s">
        <v>14</v>
      </c>
      <c r="I25" s="111">
        <v>4414200</v>
      </c>
      <c r="J25" s="111" t="s">
        <v>14</v>
      </c>
      <c r="K25" s="111" t="s">
        <v>14</v>
      </c>
      <c r="L25" s="111">
        <v>4414200</v>
      </c>
      <c r="M25" s="111" t="s">
        <v>14</v>
      </c>
      <c r="O25" s="460"/>
      <c r="P25" s="460"/>
      <c r="Q25" s="460"/>
      <c r="R25" s="460"/>
      <c r="S25" s="460"/>
      <c r="T25" s="460"/>
      <c r="U25" s="460"/>
      <c r="V25" s="460"/>
      <c r="W25" s="460"/>
      <c r="X25" s="460"/>
      <c r="Y25" s="460"/>
      <c r="Z25" s="460"/>
      <c r="AA25" s="460"/>
    </row>
    <row r="26" spans="2:27" ht="20.100000000000001" customHeight="1">
      <c r="B26" s="13" t="s">
        <v>18</v>
      </c>
      <c r="C26" s="112">
        <v>0.3</v>
      </c>
      <c r="D26" s="113" t="s">
        <v>14</v>
      </c>
      <c r="E26" s="113" t="s">
        <v>14</v>
      </c>
      <c r="F26" s="112">
        <v>0.3</v>
      </c>
      <c r="G26" s="113" t="s">
        <v>14</v>
      </c>
      <c r="I26" s="112">
        <v>0.2</v>
      </c>
      <c r="J26" s="113" t="s">
        <v>14</v>
      </c>
      <c r="K26" s="113" t="s">
        <v>14</v>
      </c>
      <c r="L26" s="112">
        <v>0.2</v>
      </c>
      <c r="M26" s="113" t="s">
        <v>14</v>
      </c>
      <c r="O26" s="460"/>
      <c r="P26" s="460"/>
      <c r="Q26" s="460"/>
      <c r="R26" s="460"/>
      <c r="S26" s="460"/>
      <c r="T26" s="460"/>
      <c r="U26" s="460"/>
      <c r="V26" s="460"/>
      <c r="W26" s="460"/>
      <c r="X26" s="460"/>
      <c r="Y26" s="460"/>
      <c r="Z26" s="460"/>
      <c r="AA26" s="460"/>
    </row>
    <row r="27" spans="2:27" ht="20.100000000000001" customHeight="1">
      <c r="B27" s="81"/>
      <c r="C27" s="460"/>
      <c r="D27" s="460"/>
      <c r="E27" s="460"/>
      <c r="F27" s="460"/>
      <c r="G27" s="460"/>
      <c r="I27" s="460"/>
      <c r="J27" s="460"/>
      <c r="K27" s="460"/>
      <c r="L27" s="460"/>
      <c r="M27" s="460"/>
      <c r="O27" s="460"/>
      <c r="P27" s="460"/>
      <c r="Q27" s="460"/>
      <c r="R27" s="460"/>
      <c r="S27" s="460"/>
      <c r="T27" s="460"/>
      <c r="U27" s="460"/>
      <c r="V27" s="460"/>
      <c r="W27" s="460"/>
      <c r="X27" s="460"/>
      <c r="Y27" s="460"/>
      <c r="Z27" s="460"/>
      <c r="AA27" s="460"/>
    </row>
    <row r="28" spans="2:27" ht="15.75">
      <c r="B28" s="450" t="s">
        <v>267</v>
      </c>
      <c r="C28" s="450"/>
      <c r="O28" s="460"/>
      <c r="P28" s="460"/>
      <c r="Q28" s="460"/>
      <c r="R28" s="460"/>
      <c r="S28" s="460"/>
      <c r="T28" s="460"/>
      <c r="U28" s="460"/>
      <c r="V28" s="460"/>
      <c r="W28" s="460"/>
      <c r="X28" s="460"/>
      <c r="Y28" s="460"/>
      <c r="Z28" s="460"/>
      <c r="AA28" s="460"/>
    </row>
    <row r="29" spans="2:27" ht="15" customHeight="1">
      <c r="B29" s="450"/>
      <c r="C29" s="450"/>
      <c r="O29" s="460"/>
      <c r="P29" s="460"/>
      <c r="Q29" s="460"/>
      <c r="R29" s="460"/>
      <c r="S29" s="460"/>
      <c r="T29" s="460"/>
      <c r="U29" s="460"/>
      <c r="V29" s="460"/>
      <c r="W29" s="460"/>
      <c r="X29" s="460"/>
      <c r="Y29" s="460"/>
      <c r="Z29" s="460"/>
      <c r="AA29" s="460"/>
    </row>
    <row r="30" spans="2:27" ht="12.95" customHeight="1">
      <c r="B30" s="460"/>
      <c r="C30" s="460"/>
      <c r="O30" s="460"/>
      <c r="P30" s="460"/>
      <c r="Q30" s="460"/>
      <c r="R30" s="460"/>
      <c r="S30" s="460"/>
      <c r="T30" s="460"/>
      <c r="U30" s="460"/>
      <c r="V30" s="460"/>
      <c r="W30" s="460"/>
      <c r="X30" s="460"/>
      <c r="Y30" s="460"/>
      <c r="Z30" s="460"/>
      <c r="AA30" s="460"/>
    </row>
    <row r="31" spans="2:27" ht="11.1" customHeight="1">
      <c r="O31" s="460"/>
      <c r="P31" s="460"/>
      <c r="Q31" s="460"/>
      <c r="R31" s="460"/>
      <c r="S31" s="460"/>
      <c r="T31" s="460"/>
      <c r="U31" s="460"/>
      <c r="V31" s="460"/>
      <c r="W31" s="460"/>
      <c r="X31" s="460"/>
      <c r="Y31" s="460"/>
      <c r="Z31" s="460"/>
      <c r="AA31" s="460"/>
    </row>
    <row r="32" spans="2:27" ht="14.1" customHeight="1">
      <c r="B32" s="460"/>
      <c r="C32" s="460"/>
      <c r="O32" s="460"/>
      <c r="P32" s="460"/>
      <c r="Q32" s="460"/>
      <c r="R32" s="460"/>
      <c r="S32" s="460"/>
      <c r="T32" s="460"/>
      <c r="U32" s="460"/>
      <c r="V32" s="460"/>
      <c r="W32" s="460"/>
      <c r="X32" s="460"/>
      <c r="Y32" s="460"/>
      <c r="Z32" s="460"/>
      <c r="AA32" s="460"/>
    </row>
    <row r="33" spans="2:27" ht="14.1" customHeight="1">
      <c r="B33" s="460"/>
      <c r="C33" s="460"/>
      <c r="O33" s="460"/>
      <c r="P33" s="460"/>
      <c r="Q33" s="460"/>
      <c r="R33" s="460"/>
      <c r="S33" s="460"/>
      <c r="T33" s="460"/>
      <c r="U33" s="460"/>
      <c r="V33" s="460"/>
      <c r="W33" s="460"/>
      <c r="X33" s="460"/>
      <c r="Y33" s="460"/>
      <c r="Z33" s="460"/>
      <c r="AA33" s="460"/>
    </row>
    <row r="34" spans="2:27" ht="14.1" customHeight="1">
      <c r="B34" s="460"/>
      <c r="C34" s="460"/>
    </row>
    <row r="35" spans="2:27" ht="12.95" customHeight="1">
      <c r="B35" s="460"/>
      <c r="C35" s="460"/>
    </row>
    <row r="36" spans="2:27" ht="20.100000000000001" customHeight="1">
      <c r="B36" s="460"/>
      <c r="C36" s="460"/>
    </row>
    <row r="37" spans="2:27" ht="20.100000000000001" customHeight="1">
      <c r="B37" s="460"/>
      <c r="C37" s="460"/>
      <c r="D37" s="460"/>
      <c r="E37" s="460"/>
      <c r="F37" s="460"/>
      <c r="G37" s="460"/>
      <c r="H37" s="460"/>
      <c r="I37" s="460"/>
      <c r="J37" s="460"/>
      <c r="K37" s="460"/>
      <c r="L37" s="460"/>
      <c r="M37" s="460"/>
      <c r="N37" s="460"/>
      <c r="O37" s="460"/>
      <c r="P37" s="460"/>
      <c r="Q37" s="460"/>
      <c r="R37" s="460"/>
      <c r="S37" s="460"/>
      <c r="T37" s="460"/>
      <c r="U37" s="460"/>
      <c r="V37" s="460"/>
      <c r="W37" s="460"/>
      <c r="X37" s="460"/>
      <c r="Y37" s="460"/>
      <c r="Z37" s="460"/>
      <c r="AA37" s="460"/>
    </row>
    <row r="38" spans="2:27" ht="20.100000000000001" customHeight="1">
      <c r="B38" s="460"/>
      <c r="C38" s="460"/>
      <c r="D38" s="460"/>
      <c r="E38" s="460"/>
      <c r="F38" s="460"/>
      <c r="G38" s="460"/>
      <c r="H38" s="460"/>
      <c r="I38" s="460"/>
      <c r="J38" s="460"/>
      <c r="K38" s="460"/>
      <c r="L38" s="460"/>
      <c r="M38" s="460"/>
      <c r="N38" s="460"/>
      <c r="O38" s="460"/>
      <c r="P38" s="460"/>
      <c r="Q38" s="460"/>
      <c r="R38" s="460"/>
      <c r="S38" s="460"/>
      <c r="T38" s="460"/>
      <c r="U38" s="460"/>
      <c r="V38" s="460"/>
      <c r="W38" s="460"/>
      <c r="X38" s="460"/>
      <c r="Y38" s="460"/>
      <c r="Z38" s="460"/>
      <c r="AA38" s="460"/>
    </row>
    <row r="39" spans="2:27" ht="20.100000000000001" customHeight="1">
      <c r="B39" s="460"/>
      <c r="C39" s="460"/>
      <c r="D39" s="460"/>
      <c r="E39" s="460"/>
      <c r="F39" s="460"/>
      <c r="G39" s="460"/>
      <c r="H39" s="460"/>
      <c r="I39" s="460"/>
      <c r="J39" s="460"/>
      <c r="K39" s="460"/>
      <c r="L39" s="460"/>
      <c r="M39" s="460"/>
      <c r="N39" s="460"/>
      <c r="O39" s="460"/>
      <c r="P39" s="460"/>
      <c r="Q39" s="460"/>
      <c r="R39" s="460"/>
      <c r="S39" s="460"/>
      <c r="T39" s="460"/>
      <c r="U39" s="460"/>
      <c r="V39" s="460"/>
      <c r="W39" s="460"/>
      <c r="X39" s="460"/>
      <c r="Y39" s="460"/>
      <c r="Z39" s="460"/>
      <c r="AA39" s="460"/>
    </row>
    <row r="40" spans="2:27" ht="20.100000000000001" customHeight="1">
      <c r="B40" s="460"/>
      <c r="C40" s="460"/>
      <c r="D40" s="460"/>
      <c r="E40" s="460"/>
      <c r="F40" s="460"/>
      <c r="G40" s="460"/>
      <c r="H40" s="460"/>
      <c r="I40" s="460"/>
      <c r="J40" s="460"/>
      <c r="K40" s="460"/>
      <c r="L40" s="460"/>
      <c r="M40" s="460"/>
      <c r="N40" s="460"/>
      <c r="O40" s="460"/>
      <c r="P40" s="460"/>
      <c r="Q40" s="460"/>
      <c r="R40" s="460"/>
      <c r="S40" s="460"/>
      <c r="T40" s="460"/>
      <c r="U40" s="460"/>
      <c r="V40" s="460"/>
      <c r="W40" s="460"/>
      <c r="X40" s="460"/>
      <c r="Y40" s="460"/>
      <c r="Z40" s="460"/>
      <c r="AA40" s="460"/>
    </row>
    <row r="41" spans="2:27" ht="20.100000000000001" customHeight="1">
      <c r="B41" s="460"/>
      <c r="C41" s="460"/>
      <c r="D41" s="460"/>
      <c r="E41" s="460"/>
      <c r="F41" s="460"/>
      <c r="G41" s="460"/>
      <c r="H41" s="460"/>
      <c r="I41" s="460"/>
      <c r="J41" s="460"/>
      <c r="K41" s="460"/>
      <c r="L41" s="460"/>
      <c r="M41" s="460"/>
      <c r="N41" s="460"/>
      <c r="O41" s="460"/>
      <c r="P41" s="460"/>
      <c r="Q41" s="460"/>
      <c r="R41" s="460"/>
      <c r="S41" s="460"/>
      <c r="T41" s="460"/>
      <c r="U41" s="460"/>
      <c r="V41" s="460"/>
      <c r="W41" s="460"/>
      <c r="X41" s="460"/>
      <c r="Y41" s="460"/>
      <c r="Z41" s="460"/>
      <c r="AA41" s="460"/>
    </row>
    <row r="42" spans="2:27" ht="20.100000000000001" customHeight="1">
      <c r="B42" s="460"/>
      <c r="C42" s="460"/>
      <c r="D42" s="460"/>
      <c r="E42" s="460"/>
      <c r="F42" s="460"/>
      <c r="G42" s="460"/>
      <c r="H42" s="460"/>
      <c r="I42" s="460"/>
      <c r="J42" s="460"/>
      <c r="K42" s="460"/>
      <c r="L42" s="460"/>
      <c r="M42" s="460"/>
      <c r="N42" s="460"/>
      <c r="O42" s="460"/>
      <c r="P42" s="460"/>
      <c r="Q42" s="460"/>
      <c r="R42" s="460"/>
      <c r="S42" s="460"/>
      <c r="T42" s="460"/>
      <c r="U42" s="460"/>
      <c r="V42" s="460"/>
      <c r="W42" s="460"/>
      <c r="X42" s="460"/>
      <c r="Y42" s="460"/>
      <c r="Z42" s="460"/>
      <c r="AA42" s="460"/>
    </row>
    <row r="43" spans="2:27" ht="20.100000000000001" customHeight="1">
      <c r="B43" s="460"/>
      <c r="C43" s="460"/>
      <c r="D43" s="460"/>
      <c r="E43" s="460"/>
      <c r="F43" s="460"/>
      <c r="G43" s="460"/>
      <c r="H43" s="460"/>
      <c r="I43" s="460"/>
      <c r="J43" s="460"/>
      <c r="K43" s="460"/>
      <c r="L43" s="460"/>
      <c r="M43" s="460"/>
      <c r="N43" s="460"/>
      <c r="O43" s="460"/>
      <c r="P43" s="460"/>
      <c r="Q43" s="460"/>
      <c r="R43" s="460"/>
      <c r="S43" s="460"/>
      <c r="T43" s="460"/>
      <c r="U43" s="460"/>
      <c r="V43" s="460"/>
      <c r="W43" s="460"/>
      <c r="X43" s="460"/>
      <c r="Y43" s="460"/>
      <c r="Z43" s="460"/>
      <c r="AA43" s="460"/>
    </row>
    <row r="44" spans="2:27" ht="20.100000000000001" customHeight="1">
      <c r="B44" s="460"/>
      <c r="C44" s="460"/>
      <c r="D44" s="460"/>
      <c r="E44" s="460"/>
      <c r="F44" s="460"/>
      <c r="G44" s="460"/>
      <c r="H44" s="460"/>
      <c r="I44" s="460"/>
      <c r="J44" s="460"/>
      <c r="K44" s="460"/>
      <c r="L44" s="460"/>
      <c r="M44" s="460"/>
      <c r="N44" s="460"/>
      <c r="O44" s="460"/>
      <c r="P44" s="460"/>
      <c r="Q44" s="460"/>
      <c r="R44" s="460"/>
      <c r="S44" s="460"/>
      <c r="T44" s="460"/>
      <c r="U44" s="460"/>
      <c r="V44" s="460"/>
      <c r="W44" s="460"/>
      <c r="X44" s="460"/>
      <c r="Y44" s="460"/>
      <c r="Z44" s="460"/>
      <c r="AA44" s="460"/>
    </row>
    <row r="45" spans="2:27" ht="20.100000000000001" customHeight="1">
      <c r="B45" s="460"/>
      <c r="C45" s="460"/>
      <c r="D45" s="460"/>
      <c r="E45" s="460"/>
      <c r="F45" s="460"/>
      <c r="G45" s="460"/>
      <c r="H45" s="460"/>
      <c r="I45" s="460"/>
      <c r="J45" s="460"/>
      <c r="K45" s="460"/>
      <c r="L45" s="460"/>
      <c r="M45" s="460"/>
      <c r="N45" s="460"/>
      <c r="O45" s="460"/>
      <c r="P45" s="460"/>
      <c r="Q45" s="460"/>
      <c r="R45" s="460"/>
      <c r="S45" s="460"/>
      <c r="T45" s="460"/>
      <c r="U45" s="460"/>
      <c r="V45" s="460"/>
      <c r="W45" s="460"/>
      <c r="X45" s="460"/>
      <c r="Y45" s="460"/>
      <c r="Z45" s="460"/>
      <c r="AA45" s="460"/>
    </row>
    <row r="46" spans="2:27" ht="20.100000000000001" customHeight="1">
      <c r="B46" s="460"/>
      <c r="C46" s="460"/>
      <c r="D46" s="460"/>
      <c r="E46" s="460"/>
      <c r="F46" s="460"/>
      <c r="G46" s="460"/>
      <c r="H46" s="460"/>
      <c r="I46" s="460"/>
      <c r="J46" s="460"/>
      <c r="K46" s="460"/>
      <c r="L46" s="460"/>
      <c r="M46" s="460"/>
      <c r="N46" s="460"/>
      <c r="O46" s="460"/>
      <c r="P46" s="460"/>
      <c r="Q46" s="460"/>
      <c r="R46" s="460"/>
      <c r="S46" s="460"/>
      <c r="T46" s="460"/>
      <c r="U46" s="460"/>
      <c r="V46" s="460"/>
      <c r="W46" s="460"/>
      <c r="X46" s="460"/>
      <c r="Y46" s="460"/>
      <c r="Z46" s="460"/>
      <c r="AA46" s="460"/>
    </row>
    <row r="47" spans="2:27" ht="20.100000000000001" customHeight="1">
      <c r="B47" s="460"/>
      <c r="C47" s="460"/>
      <c r="D47" s="460"/>
      <c r="E47" s="460"/>
      <c r="F47" s="460"/>
      <c r="G47" s="460"/>
      <c r="H47" s="460"/>
      <c r="I47" s="460"/>
      <c r="J47" s="460"/>
      <c r="K47" s="460"/>
      <c r="L47" s="460"/>
      <c r="M47" s="460"/>
      <c r="N47" s="460"/>
      <c r="O47" s="460"/>
      <c r="P47" s="460"/>
      <c r="Q47" s="460"/>
      <c r="R47" s="460"/>
      <c r="S47" s="460"/>
      <c r="T47" s="460"/>
      <c r="U47" s="460"/>
      <c r="V47" s="460"/>
      <c r="W47" s="460"/>
      <c r="X47" s="460"/>
      <c r="Y47" s="460"/>
      <c r="Z47" s="460"/>
      <c r="AA47" s="460"/>
    </row>
    <row r="48" spans="2:27" ht="20.100000000000001" customHeight="1">
      <c r="B48" s="460"/>
      <c r="C48" s="460"/>
      <c r="D48" s="460"/>
      <c r="E48" s="460"/>
      <c r="F48" s="460"/>
      <c r="G48" s="460"/>
      <c r="H48" s="460"/>
      <c r="I48" s="460"/>
      <c r="J48" s="460"/>
      <c r="K48" s="460"/>
      <c r="L48" s="460"/>
      <c r="M48" s="460"/>
      <c r="N48" s="460"/>
      <c r="O48" s="460"/>
      <c r="P48" s="460"/>
      <c r="Q48" s="460"/>
      <c r="R48" s="460"/>
      <c r="S48" s="460"/>
      <c r="T48" s="460"/>
      <c r="U48" s="460"/>
      <c r="V48" s="460"/>
      <c r="W48" s="460"/>
      <c r="X48" s="460"/>
      <c r="Y48" s="460"/>
      <c r="Z48" s="460"/>
      <c r="AA48" s="460"/>
    </row>
    <row r="49" spans="2:27" ht="20.100000000000001" customHeight="1">
      <c r="B49" s="460"/>
      <c r="C49" s="460"/>
      <c r="D49" s="460"/>
      <c r="E49" s="460"/>
      <c r="F49" s="460"/>
      <c r="G49" s="460"/>
      <c r="H49" s="460"/>
      <c r="I49" s="460"/>
      <c r="J49" s="460"/>
      <c r="K49" s="460"/>
      <c r="L49" s="460"/>
      <c r="M49" s="460"/>
      <c r="N49" s="460"/>
      <c r="O49" s="460"/>
      <c r="P49" s="460"/>
      <c r="Q49" s="460"/>
      <c r="R49" s="460"/>
      <c r="S49" s="460"/>
      <c r="T49" s="460"/>
      <c r="U49" s="460"/>
      <c r="V49" s="460"/>
      <c r="W49" s="460"/>
      <c r="X49" s="460"/>
      <c r="Y49" s="460"/>
      <c r="Z49" s="460"/>
      <c r="AA49" s="460"/>
    </row>
    <row r="50" spans="2:27" ht="20.100000000000001" customHeight="1">
      <c r="B50" s="460"/>
      <c r="C50" s="460"/>
      <c r="D50" s="460"/>
      <c r="E50" s="460"/>
      <c r="F50" s="460"/>
      <c r="G50" s="460"/>
      <c r="H50" s="460"/>
      <c r="I50" s="460"/>
      <c r="J50" s="460"/>
      <c r="K50" s="460"/>
      <c r="L50" s="460"/>
      <c r="M50" s="460"/>
      <c r="N50" s="460"/>
      <c r="O50" s="460"/>
      <c r="P50" s="460"/>
      <c r="Q50" s="460"/>
      <c r="R50" s="460"/>
      <c r="S50" s="460"/>
      <c r="T50" s="460"/>
      <c r="U50" s="460"/>
      <c r="V50" s="460"/>
      <c r="W50" s="460"/>
      <c r="X50" s="460"/>
      <c r="Y50" s="460"/>
    </row>
    <row r="57" spans="2:27" ht="14.1" customHeight="1"/>
    <row r="58" spans="2:27" ht="24.95" customHeight="1"/>
    <row r="59" spans="2:27" ht="14.1" customHeight="1"/>
    <row r="60" spans="2:27" ht="14.1" customHeight="1"/>
    <row r="61" spans="2:27" ht="14.1" customHeight="1"/>
    <row r="62" spans="2:27" ht="14.1" customHeight="1"/>
    <row r="63" spans="2:27" ht="14.1" customHeight="1"/>
    <row r="64" spans="2:27" ht="14.1" customHeight="1"/>
  </sheetData>
  <mergeCells count="14">
    <mergeCell ref="B2:G2"/>
    <mergeCell ref="C4:G4"/>
    <mergeCell ref="I4:M4"/>
    <mergeCell ref="O4:S4"/>
    <mergeCell ref="D5:G5"/>
    <mergeCell ref="J5:M5"/>
    <mergeCell ref="P5:S5"/>
    <mergeCell ref="U4:Y4"/>
    <mergeCell ref="J17:M17"/>
    <mergeCell ref="C16:G16"/>
    <mergeCell ref="I16:M16"/>
    <mergeCell ref="O16:S16"/>
    <mergeCell ref="U16:Y16"/>
    <mergeCell ref="D17:G17"/>
  </mergeCells>
  <pageMargins left="0.15748031496062992" right="0.15748031496062992" top="0.98425196850393704" bottom="0.98425196850393704" header="0.51181102362204722" footer="0.51181102362204722"/>
  <pageSetup paperSize="9" scale="80" fitToWidth="2" orientation="landscape" r:id="rId1"/>
  <colBreaks count="2" manualBreakCount="2">
    <brk id="8" max="15" man="1"/>
    <brk id="8" min="16" max="28"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60">
    <tabColor rgb="FF00A37F"/>
  </sheetPr>
  <dimension ref="B2:O10"/>
  <sheetViews>
    <sheetView showGridLines="0" zoomScaleNormal="100" zoomScalePageLayoutView="150" workbookViewId="0"/>
  </sheetViews>
  <sheetFormatPr defaultColWidth="10.875" defaultRowHeight="20.100000000000001" customHeight="1"/>
  <cols>
    <col min="1" max="1" width="5.5" style="468" customWidth="1"/>
    <col min="2" max="2" width="39.375" style="468" customWidth="1"/>
    <col min="3" max="4" width="10.875" style="468" customWidth="1"/>
    <col min="5" max="16384" width="10.875" style="468"/>
  </cols>
  <sheetData>
    <row r="2" spans="2:15" ht="20.100000000000001" customHeight="1">
      <c r="B2" s="1156" t="s">
        <v>831</v>
      </c>
      <c r="C2" s="1156"/>
      <c r="D2" s="1156"/>
      <c r="E2" s="1156"/>
      <c r="F2" s="1156"/>
      <c r="G2" s="1156"/>
    </row>
    <row r="4" spans="2:15" ht="20.100000000000001" customHeight="1">
      <c r="B4" s="217" t="s">
        <v>830</v>
      </c>
      <c r="C4" s="1003">
        <v>2017</v>
      </c>
      <c r="D4" s="218">
        <v>2016</v>
      </c>
      <c r="E4" s="216">
        <v>2015</v>
      </c>
      <c r="F4" s="216">
        <v>2014</v>
      </c>
      <c r="G4" s="216">
        <v>2013</v>
      </c>
      <c r="H4" s="216">
        <v>2012</v>
      </c>
    </row>
    <row r="5" spans="2:15" ht="20.100000000000001" customHeight="1">
      <c r="B5" s="363" t="s">
        <v>829</v>
      </c>
      <c r="C5" s="1002">
        <v>2021</v>
      </c>
      <c r="D5" s="1001">
        <v>2011</v>
      </c>
      <c r="E5" s="1001">
        <v>2247</v>
      </c>
      <c r="F5" s="1001">
        <v>2187</v>
      </c>
      <c r="G5" s="1000">
        <v>2042</v>
      </c>
      <c r="H5" s="999">
        <v>2048</v>
      </c>
    </row>
    <row r="6" spans="2:15" ht="20.100000000000001" customHeight="1">
      <c r="B6" s="998" t="s">
        <v>828</v>
      </c>
      <c r="C6" s="997">
        <v>1827</v>
      </c>
      <c r="D6" s="996">
        <v>1965</v>
      </c>
      <c r="E6" s="996">
        <v>2023</v>
      </c>
      <c r="F6" s="996">
        <v>1775</v>
      </c>
      <c r="G6" s="995">
        <v>1719</v>
      </c>
      <c r="H6" s="994">
        <v>1786</v>
      </c>
    </row>
    <row r="7" spans="2:15" ht="5.0999999999999996" customHeight="1"/>
    <row r="8" spans="2:15" ht="20.100000000000001" customHeight="1">
      <c r="B8" s="1226" t="s">
        <v>827</v>
      </c>
      <c r="C8" s="1226"/>
      <c r="D8" s="1226"/>
      <c r="E8" s="1226"/>
      <c r="F8" s="1226"/>
      <c r="G8" s="1226"/>
      <c r="H8" s="1226"/>
    </row>
    <row r="9" spans="2:15" ht="24" customHeight="1">
      <c r="B9" s="1227" t="s">
        <v>826</v>
      </c>
      <c r="C9" s="1227"/>
      <c r="D9" s="1227"/>
      <c r="E9" s="1227"/>
      <c r="F9" s="1227"/>
      <c r="G9" s="1227"/>
      <c r="H9" s="1227"/>
    </row>
    <row r="10" spans="2:15" ht="20.100000000000001" customHeight="1">
      <c r="B10" s="1161" t="s">
        <v>825</v>
      </c>
      <c r="C10" s="1161"/>
      <c r="D10" s="1161"/>
      <c r="E10" s="1161"/>
      <c r="F10" s="1161"/>
      <c r="G10" s="1161"/>
      <c r="H10" s="1161"/>
      <c r="I10" s="1161"/>
      <c r="J10" s="1161"/>
      <c r="K10" s="1161"/>
      <c r="L10" s="1161"/>
      <c r="M10" s="1161"/>
      <c r="N10" s="1161"/>
      <c r="O10" s="1161"/>
    </row>
  </sheetData>
  <mergeCells count="4">
    <mergeCell ref="B2:G2"/>
    <mergeCell ref="B10:O10"/>
    <mergeCell ref="B8:H8"/>
    <mergeCell ref="B9:H9"/>
  </mergeCells>
  <pageMargins left="0.75" right="0.75" top="1" bottom="1" header="0.5" footer="0.5"/>
  <pageSetup paperSize="9" scale="72" orientation="portrait"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61">
    <tabColor rgb="FF00A37F"/>
  </sheetPr>
  <dimension ref="B1:N42"/>
  <sheetViews>
    <sheetView showGridLines="0" zoomScaleNormal="100" workbookViewId="0"/>
  </sheetViews>
  <sheetFormatPr defaultColWidth="10.875" defaultRowHeight="20.100000000000001" customHeight="1"/>
  <cols>
    <col min="1" max="1" width="5.5" style="468" customWidth="1"/>
    <col min="2" max="2" width="39.375" style="468" customWidth="1"/>
    <col min="3" max="3" width="10.625" style="468" bestFit="1" customWidth="1"/>
    <col min="4" max="4" width="9.875" style="1004" customWidth="1"/>
    <col min="5" max="13" width="9.875" style="468" customWidth="1"/>
    <col min="14" max="16384" width="10.875" style="468"/>
  </cols>
  <sheetData>
    <row r="1" spans="2:14" ht="20.100000000000001" customHeight="1">
      <c r="D1" s="1046"/>
      <c r="E1" s="1045"/>
      <c r="F1" s="1045"/>
      <c r="G1" s="1045"/>
    </row>
    <row r="2" spans="2:14" ht="20.100000000000001" customHeight="1">
      <c r="B2" s="1156" t="str">
        <f>UPPER("Refinery capacity (Group share)")</f>
        <v>REFINERY CAPACITY (GROUP SHARE)</v>
      </c>
      <c r="C2" s="1156"/>
      <c r="D2" s="1156"/>
      <c r="E2" s="1156"/>
      <c r="F2" s="1156"/>
      <c r="G2" s="1156"/>
      <c r="H2" s="1156"/>
      <c r="I2" s="1156"/>
      <c r="J2" s="1156"/>
      <c r="K2" s="1156"/>
      <c r="L2" s="1156"/>
      <c r="M2" s="1156"/>
    </row>
    <row r="4" spans="2:14" ht="20.100000000000001" customHeight="1">
      <c r="B4" s="1044" t="s">
        <v>303</v>
      </c>
      <c r="C4" s="1230" t="s">
        <v>876</v>
      </c>
      <c r="D4" s="1230"/>
      <c r="E4" s="1230"/>
      <c r="F4" s="1230"/>
      <c r="G4" s="1230"/>
      <c r="H4" s="1230"/>
      <c r="I4" s="1230"/>
      <c r="J4" s="1230"/>
      <c r="K4" s="1230"/>
      <c r="L4" s="1230"/>
      <c r="M4" s="1230"/>
    </row>
    <row r="5" spans="2:14" ht="38.25">
      <c r="B5" s="217" t="s">
        <v>875</v>
      </c>
      <c r="C5" s="1042" t="s">
        <v>874</v>
      </c>
      <c r="D5" s="1043" t="s">
        <v>873</v>
      </c>
      <c r="E5" s="1042" t="s">
        <v>872</v>
      </c>
      <c r="F5" s="1042" t="s">
        <v>871</v>
      </c>
      <c r="G5" s="1042" t="s">
        <v>870</v>
      </c>
      <c r="H5" s="1042" t="s">
        <v>869</v>
      </c>
      <c r="I5" s="1042" t="s">
        <v>868</v>
      </c>
      <c r="J5" s="1042" t="s">
        <v>867</v>
      </c>
      <c r="K5" s="1042" t="s">
        <v>866</v>
      </c>
      <c r="L5" s="1042" t="s">
        <v>865</v>
      </c>
      <c r="M5" s="1042" t="s">
        <v>864</v>
      </c>
      <c r="N5" s="1041" t="s">
        <v>863</v>
      </c>
    </row>
    <row r="6" spans="2:14" ht="20.100000000000001" customHeight="1">
      <c r="B6" s="1028" t="s">
        <v>40</v>
      </c>
      <c r="C6" s="999"/>
      <c r="D6" s="1040"/>
      <c r="E6" s="1039"/>
      <c r="F6" s="1038"/>
      <c r="G6" s="1038"/>
      <c r="H6" s="1038"/>
      <c r="I6" s="1038"/>
      <c r="J6" s="1038"/>
      <c r="K6" s="1038"/>
      <c r="L6" s="1038"/>
      <c r="M6" s="1037"/>
      <c r="N6" s="1037"/>
    </row>
    <row r="7" spans="2:14" ht="20.100000000000001" customHeight="1">
      <c r="B7" s="1032" t="s">
        <v>862</v>
      </c>
      <c r="C7" s="1024">
        <v>253</v>
      </c>
      <c r="D7" s="1023">
        <v>1</v>
      </c>
      <c r="E7" s="1020">
        <v>253</v>
      </c>
      <c r="F7" s="1022" t="s">
        <v>14</v>
      </c>
      <c r="G7" s="1022">
        <v>37</v>
      </c>
      <c r="H7" s="1022">
        <v>63.881852054794521</v>
      </c>
      <c r="I7" s="1022" t="s">
        <v>14</v>
      </c>
      <c r="J7" s="1022">
        <v>220</v>
      </c>
      <c r="K7" s="1022" t="s">
        <v>14</v>
      </c>
      <c r="L7" s="1022" t="s">
        <v>14</v>
      </c>
      <c r="M7" s="1035">
        <v>21.891205479452054</v>
      </c>
      <c r="N7" s="1035" t="s">
        <v>14</v>
      </c>
    </row>
    <row r="8" spans="2:14" ht="20.100000000000001" customHeight="1">
      <c r="B8" s="1032" t="s">
        <v>861</v>
      </c>
      <c r="C8" s="1024" t="s">
        <v>14</v>
      </c>
      <c r="D8" s="1023">
        <v>1</v>
      </c>
      <c r="E8" s="1020" t="s">
        <v>14</v>
      </c>
      <c r="F8" s="1022" t="s">
        <v>14</v>
      </c>
      <c r="G8" s="1022" t="s">
        <v>14</v>
      </c>
      <c r="H8" s="1022" t="s">
        <v>14</v>
      </c>
      <c r="I8" s="1022" t="s">
        <v>14</v>
      </c>
      <c r="J8" s="1022" t="s">
        <v>14</v>
      </c>
      <c r="K8" s="1022" t="s">
        <v>14</v>
      </c>
      <c r="L8" s="1022" t="s">
        <v>14</v>
      </c>
      <c r="M8" s="1022" t="s">
        <v>14</v>
      </c>
      <c r="N8" s="1022" t="s">
        <v>14</v>
      </c>
    </row>
    <row r="9" spans="2:14" ht="20.100000000000001" customHeight="1">
      <c r="B9" s="1032" t="s">
        <v>860</v>
      </c>
      <c r="C9" s="1024">
        <v>219</v>
      </c>
      <c r="D9" s="1023">
        <v>1</v>
      </c>
      <c r="E9" s="1020">
        <v>219</v>
      </c>
      <c r="F9" s="1022">
        <v>50.536156164383563</v>
      </c>
      <c r="G9" s="1022">
        <v>23.098580821917807</v>
      </c>
      <c r="H9" s="1022" t="s">
        <v>14</v>
      </c>
      <c r="I9" s="1022" t="s">
        <v>14</v>
      </c>
      <c r="J9" s="1022">
        <v>125.64400000000001</v>
      </c>
      <c r="K9" s="1022">
        <v>6.7355342465753427</v>
      </c>
      <c r="L9" s="1022" t="s">
        <v>14</v>
      </c>
      <c r="M9" s="1035">
        <v>26.004904109589045</v>
      </c>
      <c r="N9" s="1035" t="s">
        <v>14</v>
      </c>
    </row>
    <row r="10" spans="2:14" ht="20.100000000000001" customHeight="1">
      <c r="B10" s="1032" t="s">
        <v>859</v>
      </c>
      <c r="C10" s="1024">
        <v>109</v>
      </c>
      <c r="D10" s="1023">
        <v>1</v>
      </c>
      <c r="E10" s="1020">
        <v>109</v>
      </c>
      <c r="F10" s="1022">
        <v>29.032019178082191</v>
      </c>
      <c r="G10" s="1022">
        <v>11.025550684931506</v>
      </c>
      <c r="H10" s="1022" t="s">
        <v>14</v>
      </c>
      <c r="I10" s="1022" t="s">
        <v>14</v>
      </c>
      <c r="J10" s="1022">
        <v>72.245999999999995</v>
      </c>
      <c r="K10" s="1022">
        <v>4.7553287671232871</v>
      </c>
      <c r="L10" s="1022" t="s">
        <v>14</v>
      </c>
      <c r="M10" s="1035">
        <v>14.718</v>
      </c>
      <c r="N10" s="1035" t="s">
        <v>14</v>
      </c>
    </row>
    <row r="11" spans="2:14" ht="20.100000000000001" customHeight="1">
      <c r="B11" s="1029" t="s">
        <v>858</v>
      </c>
      <c r="C11" s="1018">
        <v>101</v>
      </c>
      <c r="D11" s="1017">
        <v>1</v>
      </c>
      <c r="E11" s="1016">
        <v>101</v>
      </c>
      <c r="F11" s="1015">
        <v>30.724430136986307</v>
      </c>
      <c r="G11" s="1015">
        <v>14.042860273972604</v>
      </c>
      <c r="H11" s="1015" t="s">
        <v>14</v>
      </c>
      <c r="I11" s="1015" t="s">
        <v>14</v>
      </c>
      <c r="J11" s="1015">
        <v>77.350999999999999</v>
      </c>
      <c r="K11" s="1015">
        <v>4.2987945205479452</v>
      </c>
      <c r="L11" s="1015" t="s">
        <v>14</v>
      </c>
      <c r="M11" s="1014">
        <v>13.016465753424658</v>
      </c>
      <c r="N11" s="1014" t="s">
        <v>14</v>
      </c>
    </row>
    <row r="12" spans="2:14" ht="20.100000000000001" customHeight="1">
      <c r="B12" s="1013" t="s">
        <v>857</v>
      </c>
      <c r="C12" s="1012">
        <f>SUM(C7:C11)</f>
        <v>682</v>
      </c>
      <c r="D12" s="1011"/>
      <c r="E12" s="1009">
        <f>SUM(E7:E11)</f>
        <v>682</v>
      </c>
      <c r="F12" s="1009">
        <f>SUM(F7:F11)</f>
        <v>110.29260547945205</v>
      </c>
      <c r="G12" s="1009">
        <f>SUM(G7:G11)</f>
        <v>85.166991780821917</v>
      </c>
      <c r="H12" s="1009">
        <f>SUM(H7:H11)</f>
        <v>63.881852054794521</v>
      </c>
      <c r="I12" s="1009">
        <v>0</v>
      </c>
      <c r="J12" s="1009">
        <f>SUM(J7:J11)</f>
        <v>495.24099999999999</v>
      </c>
      <c r="K12" s="1009">
        <f>SUM(K7:K11)</f>
        <v>15.789657534246574</v>
      </c>
      <c r="L12" s="1010">
        <v>0</v>
      </c>
      <c r="M12" s="1009">
        <f>SUM(M7:M11)</f>
        <v>75.630575342465761</v>
      </c>
      <c r="N12" s="1009">
        <v>0</v>
      </c>
    </row>
    <row r="13" spans="2:14" ht="20.100000000000001" customHeight="1">
      <c r="B13" s="1028" t="s">
        <v>41</v>
      </c>
      <c r="C13" s="1025"/>
      <c r="D13" s="1027"/>
      <c r="E13" s="1036"/>
      <c r="F13" s="1025"/>
      <c r="G13" s="1025"/>
      <c r="H13" s="1025"/>
      <c r="I13" s="1025"/>
      <c r="J13" s="1025"/>
      <c r="K13" s="1025"/>
      <c r="L13" s="1025"/>
      <c r="M13" s="1025"/>
      <c r="N13" s="1025"/>
    </row>
    <row r="14" spans="2:14" ht="20.100000000000001" customHeight="1">
      <c r="B14" s="1032" t="s">
        <v>856</v>
      </c>
      <c r="C14" s="1024">
        <v>109</v>
      </c>
      <c r="D14" s="1023">
        <v>1</v>
      </c>
      <c r="E14" s="1020">
        <v>109</v>
      </c>
      <c r="F14" s="1022">
        <v>49.797041095890407</v>
      </c>
      <c r="G14" s="1022">
        <v>16.45538082191781</v>
      </c>
      <c r="H14" s="1022" t="s">
        <v>14</v>
      </c>
      <c r="I14" s="1022" t="s">
        <v>14</v>
      </c>
      <c r="J14" s="1022">
        <v>102</v>
      </c>
      <c r="K14" s="1022">
        <v>7.1334657534246571</v>
      </c>
      <c r="L14" s="1022" t="s">
        <v>14</v>
      </c>
      <c r="M14" s="1035">
        <v>20.470849315068492</v>
      </c>
      <c r="N14" s="1035" t="s">
        <v>14</v>
      </c>
    </row>
    <row r="15" spans="2:14" ht="20.100000000000001" customHeight="1">
      <c r="B15" s="1032" t="s">
        <v>855</v>
      </c>
      <c r="C15" s="1024">
        <v>148</v>
      </c>
      <c r="D15" s="1023">
        <v>0.55000000000000004</v>
      </c>
      <c r="E15" s="1020">
        <v>81</v>
      </c>
      <c r="F15" s="1022" t="s">
        <v>14</v>
      </c>
      <c r="G15" s="1022">
        <v>26.471369863013702</v>
      </c>
      <c r="H15" s="1022">
        <v>73.547802739726023</v>
      </c>
      <c r="I15" s="1022" t="s">
        <v>14</v>
      </c>
      <c r="J15" s="1022">
        <v>65.39</v>
      </c>
      <c r="K15" s="1022" t="s">
        <v>14</v>
      </c>
      <c r="L15" s="1022" t="s">
        <v>14</v>
      </c>
      <c r="M15" s="1035" t="s">
        <v>14</v>
      </c>
      <c r="N15" s="1035" t="s">
        <v>14</v>
      </c>
    </row>
    <row r="16" spans="2:14" ht="20.100000000000001" customHeight="1">
      <c r="B16" s="1032" t="s">
        <v>854</v>
      </c>
      <c r="C16" s="1024">
        <v>337.933501369863</v>
      </c>
      <c r="D16" s="1023">
        <v>1</v>
      </c>
      <c r="E16" s="1020">
        <v>338</v>
      </c>
      <c r="F16" s="1022">
        <v>95.035090410958901</v>
      </c>
      <c r="G16" s="1022">
        <v>56</v>
      </c>
      <c r="H16" s="1022">
        <v>50.915835616438365</v>
      </c>
      <c r="I16" s="1022">
        <v>49.811013698630141</v>
      </c>
      <c r="J16" s="1022">
        <v>253.35900000000001</v>
      </c>
      <c r="K16" s="1022">
        <v>8.9350273972602743</v>
      </c>
      <c r="L16" s="1022" t="s">
        <v>14</v>
      </c>
      <c r="M16" s="1035" t="s">
        <v>14</v>
      </c>
      <c r="N16" s="1035" t="s">
        <v>14</v>
      </c>
    </row>
    <row r="17" spans="2:14" ht="20.100000000000001" customHeight="1">
      <c r="B17" s="1032" t="s">
        <v>853</v>
      </c>
      <c r="C17" s="1024">
        <v>227.41032328767122</v>
      </c>
      <c r="D17" s="1023">
        <v>1</v>
      </c>
      <c r="E17" s="1020">
        <v>227</v>
      </c>
      <c r="F17" s="1022">
        <v>59.11677534246575</v>
      </c>
      <c r="G17" s="1022">
        <v>24.886405479452055</v>
      </c>
      <c r="H17" s="1022" t="s">
        <v>14</v>
      </c>
      <c r="I17" s="1022" t="s">
        <v>14</v>
      </c>
      <c r="J17" s="1022">
        <v>238</v>
      </c>
      <c r="K17" s="1022">
        <v>9.7554657534246569</v>
      </c>
      <c r="L17" s="1022" t="s">
        <v>14</v>
      </c>
      <c r="M17" s="1035">
        <v>24.507698630136986</v>
      </c>
      <c r="N17" s="1035" t="s">
        <v>14</v>
      </c>
    </row>
    <row r="18" spans="2:14" ht="20.100000000000001" customHeight="1">
      <c r="B18" s="1032" t="s">
        <v>852</v>
      </c>
      <c r="C18" s="1018">
        <v>131</v>
      </c>
      <c r="D18" s="1017">
        <v>0.13</v>
      </c>
      <c r="E18" s="1020">
        <v>17</v>
      </c>
      <c r="F18" s="1034">
        <v>35</v>
      </c>
      <c r="G18" s="1034" t="s">
        <v>14</v>
      </c>
      <c r="H18" s="1034" t="s">
        <v>14</v>
      </c>
      <c r="I18" s="1034" t="s">
        <v>14</v>
      </c>
      <c r="J18" s="1034" t="s">
        <v>14</v>
      </c>
      <c r="K18" s="1034" t="s">
        <v>14</v>
      </c>
      <c r="L18" s="1034" t="s">
        <v>14</v>
      </c>
      <c r="M18" s="1033" t="s">
        <v>14</v>
      </c>
      <c r="N18" s="1033" t="s">
        <v>14</v>
      </c>
    </row>
    <row r="19" spans="2:14" ht="20.100000000000001" customHeight="1">
      <c r="B19" s="1013" t="s">
        <v>851</v>
      </c>
      <c r="C19" s="1012">
        <f>SUM(C14:C18)</f>
        <v>953.34382465753424</v>
      </c>
      <c r="D19" s="1011"/>
      <c r="E19" s="1009">
        <f t="shared" ref="E19:K19" si="0">SUM(E14:E18)</f>
        <v>772</v>
      </c>
      <c r="F19" s="1009">
        <f t="shared" si="0"/>
        <v>238.94890684931505</v>
      </c>
      <c r="G19" s="1009">
        <f t="shared" si="0"/>
        <v>123.81315616438356</v>
      </c>
      <c r="H19" s="1009">
        <f t="shared" si="0"/>
        <v>124.46363835616438</v>
      </c>
      <c r="I19" s="1009">
        <f t="shared" si="0"/>
        <v>49.811013698630141</v>
      </c>
      <c r="J19" s="1009">
        <f t="shared" si="0"/>
        <v>658.74900000000002</v>
      </c>
      <c r="K19" s="1009">
        <f t="shared" si="0"/>
        <v>25.823958904109588</v>
      </c>
      <c r="L19" s="1010">
        <v>0</v>
      </c>
      <c r="M19" s="1009">
        <f>SUM(M14:M18)</f>
        <v>44.978547945205477</v>
      </c>
      <c r="N19" s="1009">
        <v>0</v>
      </c>
    </row>
    <row r="20" spans="2:14" ht="20.100000000000001" customHeight="1">
      <c r="B20" s="1028" t="s">
        <v>435</v>
      </c>
      <c r="C20" s="1025"/>
      <c r="D20" s="1027"/>
      <c r="E20" s="1026"/>
      <c r="F20" s="1025"/>
      <c r="G20" s="1025"/>
      <c r="H20" s="1025"/>
      <c r="I20" s="1025"/>
      <c r="J20" s="1025"/>
      <c r="K20" s="1025"/>
      <c r="L20" s="1025"/>
      <c r="M20" s="1025"/>
      <c r="N20" s="1025"/>
    </row>
    <row r="21" spans="2:14" ht="20.100000000000001" customHeight="1">
      <c r="B21" s="1032" t="s">
        <v>850</v>
      </c>
      <c r="C21" s="1019">
        <v>178.41095890410958</v>
      </c>
      <c r="D21" s="1031">
        <v>1</v>
      </c>
      <c r="E21" s="1030">
        <v>178</v>
      </c>
      <c r="F21" s="1019">
        <v>74.772054794520542</v>
      </c>
      <c r="G21" s="1019">
        <v>37.917808219178085</v>
      </c>
      <c r="H21" s="1019" t="s">
        <v>14</v>
      </c>
      <c r="I21" s="1019" t="s">
        <v>14</v>
      </c>
      <c r="J21" s="1019">
        <v>240.96799999999999</v>
      </c>
      <c r="K21" s="1019">
        <v>6.1438356164383565</v>
      </c>
      <c r="L21" s="1019">
        <v>7.5221917808219176</v>
      </c>
      <c r="M21" s="1019" t="s">
        <v>14</v>
      </c>
      <c r="N21" s="1019">
        <v>54.082191780821915</v>
      </c>
    </row>
    <row r="22" spans="2:14" ht="20.100000000000001" customHeight="1">
      <c r="B22" s="1029" t="s">
        <v>849</v>
      </c>
      <c r="C22" s="1018">
        <v>60</v>
      </c>
      <c r="D22" s="1017">
        <v>0.4</v>
      </c>
      <c r="E22" s="1016">
        <v>24</v>
      </c>
      <c r="F22" s="1015" t="s">
        <v>14</v>
      </c>
      <c r="G22" s="1015" t="s">
        <v>14</v>
      </c>
      <c r="H22" s="1015" t="s">
        <v>14</v>
      </c>
      <c r="I22" s="1015" t="s">
        <v>14</v>
      </c>
      <c r="J22" s="1015" t="s">
        <v>14</v>
      </c>
      <c r="K22" s="1015" t="s">
        <v>14</v>
      </c>
      <c r="L22" s="1015" t="s">
        <v>14</v>
      </c>
      <c r="M22" s="1014" t="s">
        <v>14</v>
      </c>
      <c r="N22" s="1014" t="s">
        <v>14</v>
      </c>
    </row>
    <row r="23" spans="2:14" ht="20.100000000000001" customHeight="1">
      <c r="B23" s="1013" t="s">
        <v>848</v>
      </c>
      <c r="C23" s="1012">
        <v>238</v>
      </c>
      <c r="D23" s="1011"/>
      <c r="E23" s="1009">
        <v>202</v>
      </c>
      <c r="F23" s="1009">
        <f>SUM(F21:F22)</f>
        <v>74.772054794520542</v>
      </c>
      <c r="G23" s="1009">
        <f>SUM(G21:G22)</f>
        <v>37.917808219178085</v>
      </c>
      <c r="H23" s="1009">
        <v>0</v>
      </c>
      <c r="I23" s="1009">
        <v>0</v>
      </c>
      <c r="J23" s="1009">
        <f>SUM(J21:J22)</f>
        <v>240.96799999999999</v>
      </c>
      <c r="K23" s="1009">
        <f>SUM(K21:K22)</f>
        <v>6.1438356164383565</v>
      </c>
      <c r="L23" s="1009">
        <f>SUM(L21:L22)</f>
        <v>7.5221917808219176</v>
      </c>
      <c r="M23" s="1009">
        <v>0</v>
      </c>
      <c r="N23" s="1009">
        <f>SUM(N21:N22)</f>
        <v>54.082191780821915</v>
      </c>
    </row>
    <row r="24" spans="2:14" ht="20.100000000000001" customHeight="1">
      <c r="B24" s="1028" t="s">
        <v>43</v>
      </c>
      <c r="C24" s="1025"/>
      <c r="D24" s="1027"/>
      <c r="E24" s="1026"/>
      <c r="F24" s="1025"/>
      <c r="G24" s="1025"/>
      <c r="H24" s="1025"/>
      <c r="I24" s="1025"/>
      <c r="J24" s="1025"/>
      <c r="K24" s="1025"/>
      <c r="L24" s="1025"/>
      <c r="M24" s="1025"/>
      <c r="N24" s="1025"/>
    </row>
    <row r="25" spans="2:14" ht="20.100000000000001" customHeight="1">
      <c r="B25" s="141" t="s">
        <v>847</v>
      </c>
      <c r="C25" s="1024">
        <v>42</v>
      </c>
      <c r="D25" s="1023">
        <v>0.2</v>
      </c>
      <c r="E25" s="1020">
        <v>8</v>
      </c>
      <c r="F25" s="1022" t="s">
        <v>14</v>
      </c>
      <c r="G25" s="1022">
        <v>8</v>
      </c>
      <c r="H25" s="1022" t="s">
        <v>14</v>
      </c>
      <c r="I25" s="1022" t="s">
        <v>14</v>
      </c>
      <c r="J25" s="1022">
        <v>27</v>
      </c>
      <c r="K25" s="1022" t="s">
        <v>14</v>
      </c>
      <c r="L25" s="1022" t="s">
        <v>14</v>
      </c>
      <c r="M25" s="1022" t="s">
        <v>14</v>
      </c>
      <c r="N25" s="1022" t="s">
        <v>14</v>
      </c>
    </row>
    <row r="26" spans="2:14" ht="20.100000000000001" customHeight="1">
      <c r="B26" s="141" t="s">
        <v>846</v>
      </c>
      <c r="C26" s="1024">
        <v>76</v>
      </c>
      <c r="D26" s="1023">
        <v>0.20250000000000001</v>
      </c>
      <c r="E26" s="1020">
        <v>15</v>
      </c>
      <c r="F26" s="1022" t="s">
        <v>14</v>
      </c>
      <c r="G26" s="1022">
        <v>14</v>
      </c>
      <c r="H26" s="1022">
        <v>17</v>
      </c>
      <c r="I26" s="1022" t="s">
        <v>14</v>
      </c>
      <c r="J26" s="1022">
        <v>33</v>
      </c>
      <c r="K26" s="1022" t="s">
        <v>14</v>
      </c>
      <c r="L26" s="1022" t="s">
        <v>14</v>
      </c>
      <c r="M26" s="1022" t="s">
        <v>14</v>
      </c>
      <c r="N26" s="1022" t="s">
        <v>14</v>
      </c>
    </row>
    <row r="27" spans="2:14" ht="20.100000000000001" customHeight="1">
      <c r="B27" s="141" t="s">
        <v>845</v>
      </c>
      <c r="C27" s="1024">
        <v>24</v>
      </c>
      <c r="D27" s="1023">
        <v>6.8000000000000005E-2</v>
      </c>
      <c r="E27" s="1020">
        <v>2</v>
      </c>
      <c r="F27" s="1022" t="s">
        <v>14</v>
      </c>
      <c r="G27" s="1022">
        <v>3</v>
      </c>
      <c r="H27" s="1022" t="s">
        <v>14</v>
      </c>
      <c r="I27" s="1022" t="s">
        <v>14</v>
      </c>
      <c r="J27" s="1022">
        <v>5</v>
      </c>
      <c r="K27" s="1022" t="s">
        <v>14</v>
      </c>
      <c r="L27" s="1022" t="s">
        <v>14</v>
      </c>
      <c r="M27" s="1022" t="s">
        <v>14</v>
      </c>
      <c r="N27" s="1022" t="s">
        <v>14</v>
      </c>
    </row>
    <row r="28" spans="2:14" ht="20.100000000000001" customHeight="1">
      <c r="B28" s="142" t="s">
        <v>844</v>
      </c>
      <c r="C28" s="1018">
        <v>110</v>
      </c>
      <c r="D28" s="1017">
        <v>0.18</v>
      </c>
      <c r="E28" s="1016">
        <v>20</v>
      </c>
      <c r="F28" s="1015">
        <v>25</v>
      </c>
      <c r="G28" s="1015">
        <v>18</v>
      </c>
      <c r="H28" s="1015">
        <v>13</v>
      </c>
      <c r="I28" s="1015">
        <v>15</v>
      </c>
      <c r="J28" s="1015">
        <v>44</v>
      </c>
      <c r="K28" s="1015">
        <v>5</v>
      </c>
      <c r="L28" s="1022" t="s">
        <v>14</v>
      </c>
      <c r="M28" s="1022" t="s">
        <v>14</v>
      </c>
      <c r="N28" s="1022" t="s">
        <v>14</v>
      </c>
    </row>
    <row r="29" spans="2:14" ht="20.100000000000001" customHeight="1">
      <c r="B29" s="1013" t="s">
        <v>843</v>
      </c>
      <c r="C29" s="1012">
        <f>SUM(C25:C28)</f>
        <v>252</v>
      </c>
      <c r="D29" s="1011"/>
      <c r="E29" s="1009">
        <f t="shared" ref="E29:K29" si="1">SUM(E25:E28)</f>
        <v>45</v>
      </c>
      <c r="F29" s="1009">
        <f t="shared" si="1"/>
        <v>25</v>
      </c>
      <c r="G29" s="1009">
        <f t="shared" si="1"/>
        <v>43</v>
      </c>
      <c r="H29" s="1009">
        <f t="shared" si="1"/>
        <v>30</v>
      </c>
      <c r="I29" s="1009">
        <f t="shared" si="1"/>
        <v>15</v>
      </c>
      <c r="J29" s="1009">
        <f t="shared" si="1"/>
        <v>109</v>
      </c>
      <c r="K29" s="1009">
        <f t="shared" si="1"/>
        <v>5</v>
      </c>
      <c r="L29" s="1009">
        <v>0</v>
      </c>
      <c r="M29" s="1009">
        <v>0</v>
      </c>
      <c r="N29" s="1009">
        <v>0</v>
      </c>
    </row>
    <row r="30" spans="2:14" ht="20.100000000000001" customHeight="1">
      <c r="B30" s="1028" t="s">
        <v>842</v>
      </c>
      <c r="C30" s="1025"/>
      <c r="D30" s="1027"/>
      <c r="E30" s="1026"/>
      <c r="F30" s="1025"/>
      <c r="G30" s="1025"/>
      <c r="H30" s="1025"/>
      <c r="I30" s="1025"/>
      <c r="J30" s="1025"/>
      <c r="K30" s="1025"/>
      <c r="L30" s="1025"/>
      <c r="M30" s="1025"/>
      <c r="N30" s="1025"/>
    </row>
    <row r="31" spans="2:14" ht="20.100000000000001" customHeight="1">
      <c r="B31" s="363" t="s">
        <v>841</v>
      </c>
      <c r="C31" s="1024">
        <v>219</v>
      </c>
      <c r="D31" s="1023">
        <v>0.22</v>
      </c>
      <c r="E31" s="1020">
        <v>49</v>
      </c>
      <c r="F31" s="1022">
        <v>55</v>
      </c>
      <c r="G31" s="1022">
        <v>15</v>
      </c>
      <c r="H31" s="1022">
        <v>29</v>
      </c>
      <c r="I31" s="1022">
        <v>41</v>
      </c>
      <c r="J31" s="1022">
        <v>119</v>
      </c>
      <c r="K31" s="1022" t="s">
        <v>14</v>
      </c>
      <c r="L31" s="1022" t="s">
        <v>14</v>
      </c>
      <c r="M31" s="1022" t="s">
        <v>14</v>
      </c>
      <c r="N31" s="1022" t="s">
        <v>14</v>
      </c>
    </row>
    <row r="32" spans="2:14" ht="20.100000000000001" customHeight="1">
      <c r="B32" s="363" t="s">
        <v>840</v>
      </c>
      <c r="C32" s="1019">
        <v>186</v>
      </c>
      <c r="D32" s="1021">
        <v>0.5</v>
      </c>
      <c r="E32" s="1020">
        <v>93</v>
      </c>
      <c r="F32" s="1019" t="s">
        <v>14</v>
      </c>
      <c r="G32" s="1019" t="s">
        <v>14</v>
      </c>
      <c r="H32" s="1019" t="s">
        <v>14</v>
      </c>
      <c r="I32" s="1019" t="s">
        <v>14</v>
      </c>
      <c r="J32" s="1019" t="s">
        <v>14</v>
      </c>
      <c r="K32" s="1019" t="s">
        <v>14</v>
      </c>
      <c r="L32" s="1019" t="s">
        <v>14</v>
      </c>
      <c r="M32" s="1019" t="s">
        <v>14</v>
      </c>
      <c r="N32" s="1019" t="s">
        <v>14</v>
      </c>
    </row>
    <row r="33" spans="2:14" ht="20.100000000000001" customHeight="1">
      <c r="B33" s="363" t="s">
        <v>839</v>
      </c>
      <c r="C33" s="1019">
        <v>300</v>
      </c>
      <c r="D33" s="1021">
        <v>0.1</v>
      </c>
      <c r="E33" s="1020">
        <v>30</v>
      </c>
      <c r="F33" s="1019" t="s">
        <v>14</v>
      </c>
      <c r="G33" s="1019" t="s">
        <v>14</v>
      </c>
      <c r="H33" s="1019" t="s">
        <v>14</v>
      </c>
      <c r="I33" s="1019" t="s">
        <v>14</v>
      </c>
      <c r="J33" s="1019">
        <v>308</v>
      </c>
      <c r="K33" s="1019" t="s">
        <v>14</v>
      </c>
      <c r="L33" s="1019" t="s">
        <v>14</v>
      </c>
      <c r="M33" s="1019" t="s">
        <v>14</v>
      </c>
      <c r="N33" s="1019" t="s">
        <v>14</v>
      </c>
    </row>
    <row r="34" spans="2:14" ht="20.100000000000001" customHeight="1">
      <c r="B34" s="363" t="s">
        <v>838</v>
      </c>
      <c r="C34" s="1018">
        <v>395.17545205479445</v>
      </c>
      <c r="D34" s="1017">
        <v>0.38</v>
      </c>
      <c r="E34" s="1016">
        <v>148</v>
      </c>
      <c r="F34" s="1015">
        <v>33.76025205479452</v>
      </c>
      <c r="G34" s="1015">
        <v>63.891506849315071</v>
      </c>
      <c r="H34" s="1015">
        <v>121.62082191780823</v>
      </c>
      <c r="I34" s="1015" t="s">
        <v>14</v>
      </c>
      <c r="J34" s="1015">
        <v>286.447</v>
      </c>
      <c r="K34" s="1015">
        <v>11.88217808219178</v>
      </c>
      <c r="L34" s="1015" t="s">
        <v>14</v>
      </c>
      <c r="M34" s="1014" t="s">
        <v>14</v>
      </c>
      <c r="N34" s="1014">
        <v>108.54410958904108</v>
      </c>
    </row>
    <row r="35" spans="2:14" ht="20.100000000000001" customHeight="1">
      <c r="B35" s="1013" t="s">
        <v>837</v>
      </c>
      <c r="C35" s="1012">
        <f>SUM(C31:C34)</f>
        <v>1100.1754520547945</v>
      </c>
      <c r="D35" s="1011"/>
      <c r="E35" s="1009">
        <f t="shared" ref="E35:K35" si="2">SUM(E31:E34)</f>
        <v>320</v>
      </c>
      <c r="F35" s="1009">
        <f t="shared" si="2"/>
        <v>88.76025205479452</v>
      </c>
      <c r="G35" s="1009">
        <f t="shared" si="2"/>
        <v>78.891506849315078</v>
      </c>
      <c r="H35" s="1009">
        <f t="shared" si="2"/>
        <v>150.62082191780823</v>
      </c>
      <c r="I35" s="1009">
        <f t="shared" si="2"/>
        <v>41</v>
      </c>
      <c r="J35" s="1009">
        <f t="shared" si="2"/>
        <v>713.447</v>
      </c>
      <c r="K35" s="1009">
        <f t="shared" si="2"/>
        <v>11.88217808219178</v>
      </c>
      <c r="L35" s="1010">
        <v>0</v>
      </c>
      <c r="M35" s="1009">
        <v>0</v>
      </c>
      <c r="N35" s="1009">
        <f>SUM(N31:N34)</f>
        <v>108.54410958904108</v>
      </c>
    </row>
    <row r="36" spans="2:14" ht="20.100000000000001" customHeight="1">
      <c r="B36" s="1008" t="s">
        <v>836</v>
      </c>
      <c r="C36" s="1007">
        <f>C35+C29+C23+C19+C12</f>
        <v>3225.519276712329</v>
      </c>
      <c r="D36" s="1006"/>
      <c r="E36" s="1005">
        <f t="shared" ref="E36:N36" si="3">E35+E29+E23+E19+E12</f>
        <v>2021</v>
      </c>
      <c r="F36" s="1005">
        <f t="shared" si="3"/>
        <v>537.77381917808214</v>
      </c>
      <c r="G36" s="1005">
        <f t="shared" si="3"/>
        <v>368.78946301369865</v>
      </c>
      <c r="H36" s="1005">
        <f t="shared" si="3"/>
        <v>368.96631232876712</v>
      </c>
      <c r="I36" s="1005">
        <f t="shared" si="3"/>
        <v>105.81101369863015</v>
      </c>
      <c r="J36" s="1005">
        <f t="shared" si="3"/>
        <v>2217.4049999999997</v>
      </c>
      <c r="K36" s="1005">
        <f t="shared" si="3"/>
        <v>64.639630136986298</v>
      </c>
      <c r="L36" s="1005">
        <f t="shared" si="3"/>
        <v>7.5221917808219176</v>
      </c>
      <c r="M36" s="1005">
        <f t="shared" si="3"/>
        <v>120.60912328767124</v>
      </c>
      <c r="N36" s="1005">
        <f t="shared" si="3"/>
        <v>162.626301369863</v>
      </c>
    </row>
    <row r="38" spans="2:14" s="439" customFormat="1" ht="12.75" customHeight="1">
      <c r="B38" s="1231" t="s">
        <v>835</v>
      </c>
      <c r="C38" s="1228"/>
      <c r="D38" s="1228"/>
      <c r="E38" s="1228"/>
      <c r="F38" s="1228"/>
      <c r="G38" s="1228"/>
      <c r="H38" s="1228"/>
      <c r="I38" s="1228"/>
      <c r="J38" s="1228"/>
      <c r="K38" s="1228"/>
      <c r="L38" s="1228"/>
      <c r="M38" s="1228"/>
    </row>
    <row r="39" spans="2:14" s="439" customFormat="1" ht="12.75" customHeight="1">
      <c r="B39" s="1228" t="s">
        <v>834</v>
      </c>
      <c r="C39" s="1228"/>
      <c r="D39" s="1228"/>
      <c r="E39" s="1228"/>
      <c r="F39" s="1228"/>
      <c r="G39" s="1228"/>
      <c r="H39" s="1228"/>
      <c r="I39" s="1228"/>
      <c r="J39" s="1228"/>
      <c r="K39" s="1228"/>
      <c r="L39" s="1228"/>
      <c r="M39" s="1228"/>
    </row>
    <row r="40" spans="2:14" s="439" customFormat="1" ht="12.75" customHeight="1">
      <c r="B40" s="1228" t="s">
        <v>833</v>
      </c>
      <c r="C40" s="1229"/>
      <c r="D40" s="1229"/>
      <c r="E40" s="1229"/>
      <c r="F40" s="1229"/>
      <c r="G40" s="1229"/>
      <c r="H40" s="1229"/>
      <c r="I40" s="1229"/>
      <c r="J40" s="1229"/>
      <c r="K40" s="1229"/>
      <c r="L40" s="1229"/>
      <c r="M40" s="1229"/>
    </row>
    <row r="41" spans="2:14" s="439" customFormat="1" ht="12.75" customHeight="1">
      <c r="B41" s="1228" t="s">
        <v>832</v>
      </c>
      <c r="C41" s="1229"/>
      <c r="D41" s="1229"/>
      <c r="E41" s="1229"/>
      <c r="F41" s="1229"/>
      <c r="G41" s="1229"/>
      <c r="H41" s="1229"/>
      <c r="I41" s="1229"/>
      <c r="J41" s="1229"/>
      <c r="K41" s="1229"/>
      <c r="L41" s="1229"/>
      <c r="M41" s="1229"/>
    </row>
    <row r="42" spans="2:14" s="439" customFormat="1" ht="20.100000000000001" customHeight="1">
      <c r="B42" s="1228"/>
      <c r="C42" s="1229"/>
      <c r="D42" s="1229"/>
      <c r="E42" s="1229"/>
      <c r="F42" s="1229"/>
      <c r="G42" s="1229"/>
      <c r="H42" s="1229"/>
      <c r="I42" s="1229"/>
      <c r="J42" s="1229"/>
      <c r="K42" s="1229"/>
      <c r="L42" s="1229"/>
      <c r="M42" s="1229"/>
    </row>
  </sheetData>
  <mergeCells count="7">
    <mergeCell ref="B41:M41"/>
    <mergeCell ref="B42:M42"/>
    <mergeCell ref="B2:M2"/>
    <mergeCell ref="C4:M4"/>
    <mergeCell ref="B38:M38"/>
    <mergeCell ref="B39:M39"/>
    <mergeCell ref="B40:M40"/>
  </mergeCells>
  <pageMargins left="0.23622047244094491" right="0.23622047244094491" top="0.74803149606299213" bottom="0.74803149606299213" header="0.31496062992125984" footer="0.31496062992125984"/>
  <pageSetup paperSize="9" scale="55" orientation="landscape"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62">
    <tabColor rgb="FF00A37F"/>
  </sheetPr>
  <dimension ref="B2:J16"/>
  <sheetViews>
    <sheetView showGridLines="0" zoomScaleNormal="100" zoomScalePageLayoutView="150" workbookViewId="0">
      <selection activeCell="B14" sqref="B14:H14"/>
    </sheetView>
  </sheetViews>
  <sheetFormatPr defaultColWidth="10.875" defaultRowHeight="20.100000000000001" customHeight="1"/>
  <cols>
    <col min="1" max="1" width="5.5" style="468" customWidth="1"/>
    <col min="2" max="2" width="39.375" style="468" customWidth="1"/>
    <col min="3" max="4" width="10.875" style="468" customWidth="1"/>
    <col min="5" max="16384" width="10.875" style="468"/>
  </cols>
  <sheetData>
    <row r="2" spans="2:10" ht="20.100000000000001" customHeight="1">
      <c r="B2" s="1156" t="s">
        <v>886</v>
      </c>
      <c r="C2" s="1156"/>
      <c r="D2" s="1156"/>
      <c r="E2" s="1156"/>
      <c r="F2" s="1156"/>
      <c r="G2" s="1156"/>
      <c r="H2" s="1156"/>
      <c r="I2" s="1156"/>
      <c r="J2" s="1156"/>
    </row>
    <row r="4" spans="2:10" ht="20.100000000000001" customHeight="1">
      <c r="B4" s="715" t="s">
        <v>885</v>
      </c>
      <c r="C4" s="715"/>
      <c r="D4" s="715"/>
    </row>
    <row r="6" spans="2:10" ht="20.100000000000001" customHeight="1">
      <c r="B6" s="1057" t="s">
        <v>884</v>
      </c>
      <c r="C6" s="218">
        <v>2017</v>
      </c>
      <c r="D6" s="218">
        <v>2016</v>
      </c>
      <c r="E6" s="216">
        <v>2015</v>
      </c>
      <c r="F6" s="216">
        <v>2014</v>
      </c>
      <c r="G6" s="215" t="s">
        <v>883</v>
      </c>
      <c r="H6" s="215" t="s">
        <v>882</v>
      </c>
    </row>
    <row r="7" spans="2:10" ht="20.100000000000001" customHeight="1">
      <c r="B7" s="1032" t="s">
        <v>40</v>
      </c>
      <c r="C7" s="1053">
        <v>682</v>
      </c>
      <c r="D7" s="1001">
        <v>682</v>
      </c>
      <c r="E7" s="1001">
        <v>829</v>
      </c>
      <c r="F7" s="1001">
        <v>829</v>
      </c>
      <c r="G7" s="1001">
        <v>829</v>
      </c>
      <c r="H7" s="1056">
        <v>829</v>
      </c>
    </row>
    <row r="8" spans="2:10" ht="20.100000000000001" customHeight="1">
      <c r="B8" s="1032" t="s">
        <v>41</v>
      </c>
      <c r="C8" s="1053">
        <v>772</v>
      </c>
      <c r="D8" s="1055">
        <v>772</v>
      </c>
      <c r="E8" s="1055">
        <v>870</v>
      </c>
      <c r="F8" s="1055">
        <v>907</v>
      </c>
      <c r="G8" s="1055">
        <v>907</v>
      </c>
      <c r="H8" s="1054">
        <v>913</v>
      </c>
    </row>
    <row r="9" spans="2:10" ht="20.100000000000001" customHeight="1">
      <c r="B9" s="1032" t="s">
        <v>881</v>
      </c>
      <c r="C9" s="1053">
        <v>202</v>
      </c>
      <c r="D9" s="1055">
        <v>202</v>
      </c>
      <c r="E9" s="1055">
        <v>198</v>
      </c>
      <c r="F9" s="1055">
        <v>178</v>
      </c>
      <c r="G9" s="1055">
        <v>178</v>
      </c>
      <c r="H9" s="1054">
        <v>178</v>
      </c>
    </row>
    <row r="10" spans="2:10" ht="20.100000000000001" customHeight="1">
      <c r="B10" s="1032" t="s">
        <v>880</v>
      </c>
      <c r="C10" s="1053">
        <v>320</v>
      </c>
      <c r="D10" s="1055">
        <v>303</v>
      </c>
      <c r="E10" s="1055">
        <v>288</v>
      </c>
      <c r="F10" s="1055">
        <v>209</v>
      </c>
      <c r="G10" s="1055">
        <v>64</v>
      </c>
      <c r="H10" s="1054">
        <v>64</v>
      </c>
    </row>
    <row r="11" spans="2:10" ht="20.100000000000001" customHeight="1">
      <c r="B11" s="1029" t="s">
        <v>43</v>
      </c>
      <c r="C11" s="1053">
        <v>45</v>
      </c>
      <c r="D11" s="1052">
        <v>52</v>
      </c>
      <c r="E11" s="1052">
        <v>62</v>
      </c>
      <c r="F11" s="1052">
        <v>64</v>
      </c>
      <c r="G11" s="1052">
        <v>64</v>
      </c>
      <c r="H11" s="1051">
        <v>64</v>
      </c>
    </row>
    <row r="12" spans="2:10" ht="20.100000000000001" customHeight="1">
      <c r="B12" s="1050" t="s">
        <v>36</v>
      </c>
      <c r="C12" s="1049">
        <f>SUM(C7:C11)</f>
        <v>2021</v>
      </c>
      <c r="D12" s="1049">
        <v>2011</v>
      </c>
      <c r="E12" s="1049">
        <v>2247</v>
      </c>
      <c r="F12" s="1049">
        <v>2187</v>
      </c>
      <c r="G12" s="1049">
        <v>2042</v>
      </c>
      <c r="H12" s="1048">
        <v>2048</v>
      </c>
    </row>
    <row r="14" spans="2:10" ht="25.5" customHeight="1">
      <c r="B14" s="1232" t="s">
        <v>879</v>
      </c>
      <c r="C14" s="1232"/>
      <c r="D14" s="1232"/>
      <c r="E14" s="1232"/>
      <c r="F14" s="1232"/>
      <c r="G14" s="1232"/>
      <c r="H14" s="1232"/>
      <c r="I14" s="1047"/>
      <c r="J14" s="1047"/>
    </row>
    <row r="15" spans="2:10" ht="12.95" customHeight="1">
      <c r="B15" s="1232" t="s">
        <v>878</v>
      </c>
      <c r="C15" s="1232"/>
      <c r="D15" s="1232"/>
      <c r="E15" s="1232"/>
      <c r="F15" s="1232"/>
      <c r="G15" s="1232"/>
      <c r="H15" s="1232"/>
      <c r="I15" s="1232"/>
      <c r="J15" s="1232"/>
    </row>
    <row r="16" spans="2:10" ht="12.95" customHeight="1">
      <c r="B16" s="1232" t="s">
        <v>877</v>
      </c>
      <c r="C16" s="1232"/>
      <c r="D16" s="1232"/>
      <c r="E16" s="1232"/>
      <c r="F16" s="1232"/>
      <c r="G16" s="1232"/>
      <c r="H16" s="1232"/>
      <c r="I16" s="1232"/>
      <c r="J16" s="1232"/>
    </row>
  </sheetData>
  <mergeCells count="4">
    <mergeCell ref="B2:J2"/>
    <mergeCell ref="B15:J15"/>
    <mergeCell ref="B14:H14"/>
    <mergeCell ref="B16:J16"/>
  </mergeCells>
  <pageMargins left="0.75" right="0.75" top="1" bottom="1" header="0.5" footer="0.5"/>
  <pageSetup paperSize="9" scale="60" orientation="portrait"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63">
    <tabColor rgb="FF00A37F"/>
  </sheetPr>
  <dimension ref="B2:J16"/>
  <sheetViews>
    <sheetView showGridLines="0" zoomScaleNormal="100" zoomScalePageLayoutView="150" workbookViewId="0">
      <selection activeCell="B15" sqref="B15:J15"/>
    </sheetView>
  </sheetViews>
  <sheetFormatPr defaultColWidth="10.875" defaultRowHeight="20.100000000000001" customHeight="1"/>
  <cols>
    <col min="1" max="1" width="5.5" style="468" customWidth="1"/>
    <col min="2" max="2" width="39.375" style="468" customWidth="1"/>
    <col min="3" max="4" width="10.875" style="468" customWidth="1"/>
    <col min="5" max="16384" width="10.875" style="468"/>
  </cols>
  <sheetData>
    <row r="2" spans="2:10" ht="20.100000000000001" customHeight="1">
      <c r="B2" s="1156" t="s">
        <v>894</v>
      </c>
      <c r="C2" s="1156"/>
      <c r="D2" s="1156"/>
      <c r="E2" s="1156"/>
      <c r="F2" s="1156"/>
      <c r="G2" s="1156"/>
      <c r="H2" s="1156"/>
      <c r="I2" s="1156"/>
      <c r="J2" s="1156"/>
    </row>
    <row r="4" spans="2:10" ht="20.100000000000001" customHeight="1">
      <c r="B4" s="1195" t="s">
        <v>893</v>
      </c>
      <c r="C4" s="1195"/>
      <c r="D4" s="1195"/>
      <c r="E4" s="1195"/>
      <c r="F4" s="1195"/>
      <c r="G4" s="1195"/>
      <c r="H4" s="1195"/>
      <c r="I4" s="1195"/>
      <c r="J4" s="1195"/>
    </row>
    <row r="6" spans="2:10" ht="20.100000000000001" customHeight="1">
      <c r="B6" s="217" t="s">
        <v>892</v>
      </c>
      <c r="C6" s="218">
        <v>2017</v>
      </c>
      <c r="D6" s="218">
        <v>2016</v>
      </c>
      <c r="E6" s="216">
        <v>2015</v>
      </c>
      <c r="F6" s="216">
        <v>2014</v>
      </c>
      <c r="G6" s="215" t="s">
        <v>883</v>
      </c>
      <c r="H6" s="215" t="s">
        <v>882</v>
      </c>
    </row>
    <row r="7" spans="2:10" ht="20.100000000000001" customHeight="1">
      <c r="B7" s="363" t="s">
        <v>891</v>
      </c>
      <c r="C7" s="376">
        <v>624</v>
      </c>
      <c r="D7" s="1060">
        <v>669</v>
      </c>
      <c r="E7" s="1060">
        <v>674</v>
      </c>
      <c r="F7" s="1060">
        <v>639</v>
      </c>
      <c r="G7" s="1060">
        <v>647</v>
      </c>
      <c r="H7" s="1059">
        <v>657</v>
      </c>
    </row>
    <row r="8" spans="2:10" ht="20.100000000000001" customHeight="1">
      <c r="B8" s="363" t="s">
        <v>41</v>
      </c>
      <c r="C8" s="376">
        <v>767</v>
      </c>
      <c r="D8" s="351">
        <v>802</v>
      </c>
      <c r="E8" s="351">
        <v>849</v>
      </c>
      <c r="F8" s="351">
        <v>794</v>
      </c>
      <c r="G8" s="351">
        <v>797</v>
      </c>
      <c r="H8" s="358">
        <v>866</v>
      </c>
    </row>
    <row r="9" spans="2:10" ht="20.100000000000001" customHeight="1">
      <c r="B9" s="363" t="s">
        <v>890</v>
      </c>
      <c r="C9" s="376">
        <v>163</v>
      </c>
      <c r="D9" s="351">
        <v>193</v>
      </c>
      <c r="E9" s="351">
        <v>218</v>
      </c>
      <c r="F9" s="351">
        <v>188</v>
      </c>
      <c r="G9" s="351">
        <v>178</v>
      </c>
      <c r="H9" s="358">
        <v>182</v>
      </c>
    </row>
    <row r="10" spans="2:10" ht="20.100000000000001" customHeight="1">
      <c r="B10" s="363" t="s">
        <v>889</v>
      </c>
      <c r="C10" s="376">
        <v>243</v>
      </c>
      <c r="D10" s="351">
        <v>249</v>
      </c>
      <c r="E10" s="351">
        <v>230</v>
      </c>
      <c r="F10" s="351">
        <v>105</v>
      </c>
      <c r="G10" s="351">
        <v>48</v>
      </c>
      <c r="H10" s="358">
        <v>33</v>
      </c>
    </row>
    <row r="11" spans="2:10" ht="20.100000000000001" customHeight="1">
      <c r="B11" s="365" t="s">
        <v>43</v>
      </c>
      <c r="C11" s="997">
        <v>31</v>
      </c>
      <c r="D11" s="126">
        <v>53</v>
      </c>
      <c r="E11" s="126">
        <v>54</v>
      </c>
      <c r="F11" s="126">
        <v>49</v>
      </c>
      <c r="G11" s="126">
        <v>50</v>
      </c>
      <c r="H11" s="359">
        <v>48</v>
      </c>
    </row>
    <row r="12" spans="2:10" ht="20.100000000000001" customHeight="1">
      <c r="B12" s="1050" t="s">
        <v>36</v>
      </c>
      <c r="C12" s="1058">
        <v>1827</v>
      </c>
      <c r="D12" s="1058">
        <v>1965</v>
      </c>
      <c r="E12" s="1049">
        <v>2023</v>
      </c>
      <c r="F12" s="1049">
        <v>1775</v>
      </c>
      <c r="G12" s="1049">
        <v>1719</v>
      </c>
      <c r="H12" s="1049">
        <v>1786</v>
      </c>
    </row>
    <row r="14" spans="2:10" ht="14.1" customHeight="1">
      <c r="B14" s="1161" t="s">
        <v>827</v>
      </c>
      <c r="C14" s="1161"/>
      <c r="D14" s="1161"/>
      <c r="E14" s="1161"/>
      <c r="F14" s="1161"/>
      <c r="G14" s="1161"/>
      <c r="H14" s="1161"/>
      <c r="I14" s="1161"/>
      <c r="J14" s="1161"/>
    </row>
    <row r="15" spans="2:10" ht="14.1" customHeight="1">
      <c r="B15" s="1161" t="s">
        <v>888</v>
      </c>
      <c r="C15" s="1161"/>
      <c r="D15" s="1161"/>
      <c r="E15" s="1161"/>
      <c r="F15" s="1161"/>
      <c r="G15" s="1161"/>
      <c r="H15" s="1161"/>
      <c r="I15" s="1161"/>
      <c r="J15" s="1161"/>
    </row>
    <row r="16" spans="2:10" ht="14.1" customHeight="1">
      <c r="B16" s="1161" t="s">
        <v>887</v>
      </c>
      <c r="C16" s="1161"/>
      <c r="D16" s="1161"/>
      <c r="E16" s="1161"/>
      <c r="F16" s="1161"/>
      <c r="G16" s="1161"/>
      <c r="H16" s="1161"/>
      <c r="I16" s="1161"/>
      <c r="J16" s="1161"/>
    </row>
  </sheetData>
  <mergeCells count="5">
    <mergeCell ref="B16:J16"/>
    <mergeCell ref="B2:J2"/>
    <mergeCell ref="B4:J4"/>
    <mergeCell ref="B14:J14"/>
    <mergeCell ref="B15:J15"/>
  </mergeCells>
  <pageMargins left="0.75" right="0.75" top="1" bottom="1" header="0.5" footer="0.5"/>
  <pageSetup paperSize="9" scale="60" orientation="portrait"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64">
    <tabColor rgb="FF00A37F"/>
    <pageSetUpPr fitToPage="1"/>
  </sheetPr>
  <dimension ref="B2:I16"/>
  <sheetViews>
    <sheetView showGridLines="0" zoomScaleNormal="100" zoomScalePageLayoutView="150" workbookViewId="0">
      <selection activeCell="B14" sqref="B14"/>
    </sheetView>
  </sheetViews>
  <sheetFormatPr defaultColWidth="10.875" defaultRowHeight="20.100000000000001" customHeight="1"/>
  <cols>
    <col min="1" max="1" width="5.5" style="468" customWidth="1"/>
    <col min="2" max="2" width="39.375" style="468" customWidth="1"/>
    <col min="3" max="4" width="10.875" style="468" customWidth="1"/>
    <col min="5" max="16384" width="10.875" style="468"/>
  </cols>
  <sheetData>
    <row r="2" spans="2:9" ht="20.100000000000001" customHeight="1">
      <c r="B2" s="1156" t="s">
        <v>904</v>
      </c>
      <c r="C2" s="1156"/>
      <c r="D2" s="1156"/>
      <c r="E2" s="1156"/>
      <c r="F2" s="1156"/>
      <c r="G2" s="1156"/>
      <c r="H2" s="1156"/>
      <c r="I2" s="1156"/>
    </row>
    <row r="4" spans="2:9" ht="20.100000000000001" customHeight="1">
      <c r="B4" s="217" t="s">
        <v>903</v>
      </c>
      <c r="C4" s="218">
        <v>2017</v>
      </c>
      <c r="D4" s="218">
        <v>2016</v>
      </c>
      <c r="E4" s="216">
        <v>2015</v>
      </c>
      <c r="F4" s="216">
        <v>2014</v>
      </c>
      <c r="G4" s="215" t="s">
        <v>883</v>
      </c>
      <c r="H4" s="215" t="s">
        <v>882</v>
      </c>
    </row>
    <row r="5" spans="2:9" ht="20.100000000000001" customHeight="1">
      <c r="B5" s="363" t="s">
        <v>40</v>
      </c>
      <c r="C5" s="376">
        <v>91</v>
      </c>
      <c r="D5" s="1060">
        <v>81</v>
      </c>
      <c r="E5" s="1060">
        <v>81</v>
      </c>
      <c r="F5" s="1060">
        <v>77</v>
      </c>
      <c r="G5" s="1060">
        <v>78</v>
      </c>
      <c r="H5" s="1059">
        <v>82</v>
      </c>
    </row>
    <row r="6" spans="2:9" ht="20.100000000000001" customHeight="1">
      <c r="B6" s="141" t="s">
        <v>902</v>
      </c>
      <c r="C6" s="440">
        <v>99</v>
      </c>
      <c r="D6" s="1055">
        <v>92</v>
      </c>
      <c r="E6" s="1055">
        <v>94</v>
      </c>
      <c r="F6" s="1055">
        <v>88</v>
      </c>
      <c r="G6" s="1055">
        <v>87</v>
      </c>
      <c r="H6" s="1061">
        <v>88</v>
      </c>
    </row>
    <row r="7" spans="2:9" ht="20.100000000000001" customHeight="1">
      <c r="B7" s="363" t="s">
        <v>901</v>
      </c>
      <c r="C7" s="376">
        <v>81</v>
      </c>
      <c r="D7" s="1055">
        <v>97</v>
      </c>
      <c r="E7" s="1055">
        <v>111</v>
      </c>
      <c r="F7" s="1055">
        <v>106</v>
      </c>
      <c r="G7" s="1055">
        <v>100</v>
      </c>
      <c r="H7" s="1061">
        <v>99</v>
      </c>
    </row>
    <row r="8" spans="2:9" ht="20.100000000000001" customHeight="1">
      <c r="B8" s="363" t="s">
        <v>900</v>
      </c>
      <c r="C8" s="376">
        <v>80</v>
      </c>
      <c r="D8" s="1055">
        <v>86</v>
      </c>
      <c r="E8" s="1055">
        <v>80</v>
      </c>
      <c r="F8" s="1055">
        <v>50</v>
      </c>
      <c r="G8" s="1055">
        <v>75</v>
      </c>
      <c r="H8" s="1061">
        <v>67</v>
      </c>
    </row>
    <row r="9" spans="2:9" ht="20.100000000000001" customHeight="1">
      <c r="B9" s="363" t="s">
        <v>43</v>
      </c>
      <c r="C9" s="997">
        <v>66</v>
      </c>
      <c r="D9" s="1055">
        <v>85</v>
      </c>
      <c r="E9" s="1055">
        <v>84</v>
      </c>
      <c r="F9" s="1055">
        <v>77</v>
      </c>
      <c r="G9" s="1055">
        <v>78</v>
      </c>
      <c r="H9" s="1061">
        <v>75</v>
      </c>
    </row>
    <row r="10" spans="2:9" ht="20.100000000000001" customHeight="1">
      <c r="B10" s="1050" t="s">
        <v>899</v>
      </c>
      <c r="C10" s="1049">
        <v>91</v>
      </c>
      <c r="D10" s="1049">
        <v>87</v>
      </c>
      <c r="E10" s="1049">
        <v>88</v>
      </c>
      <c r="F10" s="1049">
        <v>81</v>
      </c>
      <c r="G10" s="1049">
        <v>84</v>
      </c>
      <c r="H10" s="1049">
        <v>86</v>
      </c>
    </row>
    <row r="11" spans="2:9" ht="20.100000000000001" customHeight="1">
      <c r="F11" s="55"/>
    </row>
    <row r="12" spans="2:9" s="467" customFormat="1" ht="12.95" customHeight="1">
      <c r="B12" s="1161" t="s">
        <v>898</v>
      </c>
      <c r="C12" s="1161"/>
      <c r="D12" s="1161"/>
      <c r="E12" s="1161"/>
      <c r="F12" s="1161"/>
      <c r="G12" s="1161"/>
      <c r="H12" s="1161"/>
      <c r="I12" s="1161"/>
    </row>
    <row r="13" spans="2:9" s="467" customFormat="1" ht="12.95" customHeight="1">
      <c r="B13" s="467" t="s">
        <v>1090</v>
      </c>
    </row>
    <row r="14" spans="2:9" s="467" customFormat="1" ht="12.95" customHeight="1">
      <c r="B14" s="467" t="s">
        <v>897</v>
      </c>
    </row>
    <row r="15" spans="2:9" s="467" customFormat="1" ht="12.95" customHeight="1">
      <c r="B15" s="467" t="s">
        <v>896</v>
      </c>
    </row>
    <row r="16" spans="2:9" s="467" customFormat="1" ht="12.95" customHeight="1">
      <c r="B16" s="467" t="s">
        <v>895</v>
      </c>
    </row>
  </sheetData>
  <mergeCells count="2">
    <mergeCell ref="B2:I2"/>
    <mergeCell ref="B12:I12"/>
  </mergeCells>
  <pageMargins left="0.74803149606299213" right="0.74803149606299213" top="0.98425196850393704" bottom="0.98425196850393704" header="0.51181102362204722" footer="0.51181102362204722"/>
  <pageSetup paperSize="9" scale="55" orientation="portrait"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65">
    <tabColor rgb="FF00A37F"/>
    <pageSetUpPr fitToPage="1"/>
  </sheetPr>
  <dimension ref="B2:H9"/>
  <sheetViews>
    <sheetView showGridLines="0" zoomScaleNormal="100" zoomScalePageLayoutView="150" workbookViewId="0">
      <selection activeCell="H17" sqref="H17"/>
    </sheetView>
  </sheetViews>
  <sheetFormatPr defaultColWidth="10.875" defaultRowHeight="20.100000000000001" customHeight="1"/>
  <cols>
    <col min="1" max="1" width="5.5" style="468" customWidth="1"/>
    <col min="2" max="2" width="39.375" style="468" customWidth="1"/>
    <col min="3" max="4" width="10.875" style="468" customWidth="1"/>
    <col min="5" max="16384" width="10.875" style="468"/>
  </cols>
  <sheetData>
    <row r="2" spans="2:8" ht="20.100000000000001" customHeight="1">
      <c r="B2" s="1156" t="s">
        <v>907</v>
      </c>
      <c r="C2" s="1156"/>
      <c r="D2" s="1156"/>
      <c r="E2" s="1156"/>
      <c r="F2" s="1156"/>
      <c r="G2" s="1156"/>
    </row>
    <row r="4" spans="2:8" ht="20.100000000000001" customHeight="1">
      <c r="B4" s="217" t="s">
        <v>903</v>
      </c>
      <c r="C4" s="216">
        <v>2017</v>
      </c>
      <c r="D4" s="216">
        <v>2016</v>
      </c>
      <c r="E4" s="216">
        <v>2015</v>
      </c>
      <c r="F4" s="216">
        <v>2014</v>
      </c>
      <c r="G4" s="215" t="s">
        <v>883</v>
      </c>
      <c r="H4" s="215" t="s">
        <v>882</v>
      </c>
    </row>
    <row r="5" spans="2:8" ht="20.100000000000001" customHeight="1">
      <c r="B5" s="1063" t="s">
        <v>906</v>
      </c>
      <c r="C5" s="1062">
        <v>88</v>
      </c>
      <c r="D5" s="1062">
        <v>85</v>
      </c>
      <c r="E5" s="1062">
        <v>86</v>
      </c>
      <c r="F5" s="1062">
        <v>77</v>
      </c>
      <c r="G5" s="1062">
        <v>80</v>
      </c>
      <c r="H5" s="1062">
        <v>82</v>
      </c>
    </row>
    <row r="7" spans="2:8" ht="12.95" customHeight="1">
      <c r="B7" s="1161" t="s">
        <v>898</v>
      </c>
      <c r="C7" s="1161"/>
      <c r="D7" s="1161"/>
      <c r="E7" s="1161"/>
      <c r="F7" s="1161"/>
      <c r="G7" s="1161"/>
    </row>
    <row r="8" spans="2:8" ht="12.95" customHeight="1">
      <c r="B8" s="1231" t="s">
        <v>905</v>
      </c>
      <c r="C8" s="1231"/>
      <c r="D8" s="1228"/>
      <c r="E8" s="1228"/>
      <c r="F8" s="1228"/>
      <c r="G8" s="1228"/>
    </row>
    <row r="9" spans="2:8" ht="20.100000000000001" customHeight="1">
      <c r="B9" s="1228"/>
      <c r="C9" s="1228"/>
      <c r="D9" s="1228"/>
      <c r="E9" s="1228"/>
      <c r="F9" s="1228"/>
      <c r="G9" s="1228"/>
    </row>
  </sheetData>
  <mergeCells count="4">
    <mergeCell ref="B2:G2"/>
    <mergeCell ref="B7:G7"/>
    <mergeCell ref="B8:G8"/>
    <mergeCell ref="B9:G9"/>
  </mergeCells>
  <pageMargins left="0.74803149606299213" right="0.74803149606299213" top="0.98425196850393704" bottom="0.98425196850393704" header="0.51181102362204722" footer="0.51181102362204722"/>
  <pageSetup paperSize="9" orientation="landscape"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66">
    <tabColor rgb="FF00A37F"/>
    <pageSetUpPr fitToPage="1"/>
  </sheetPr>
  <dimension ref="B2:O18"/>
  <sheetViews>
    <sheetView showGridLines="0" zoomScaleNormal="100" zoomScalePageLayoutView="150" workbookViewId="0">
      <selection activeCell="B17" sqref="B17:O17"/>
    </sheetView>
  </sheetViews>
  <sheetFormatPr defaultColWidth="10.875" defaultRowHeight="20.100000000000001" customHeight="1"/>
  <cols>
    <col min="1" max="1" width="5.5" style="468" customWidth="1"/>
    <col min="2" max="2" width="39.375" style="468" customWidth="1"/>
    <col min="3" max="4" width="10.875" style="468" customWidth="1"/>
    <col min="5" max="16384" width="10.875" style="468"/>
  </cols>
  <sheetData>
    <row r="2" spans="2:15" ht="20.100000000000001" customHeight="1">
      <c r="B2" s="1156" t="s">
        <v>919</v>
      </c>
      <c r="C2" s="1156"/>
      <c r="D2" s="1156"/>
      <c r="E2" s="1156"/>
      <c r="F2" s="1156"/>
      <c r="G2" s="1156"/>
      <c r="H2" s="1156"/>
      <c r="I2" s="1156"/>
      <c r="J2" s="1156"/>
      <c r="K2" s="1156"/>
      <c r="L2" s="1156"/>
      <c r="M2" s="1156"/>
      <c r="N2" s="1156"/>
      <c r="O2" s="1156"/>
    </row>
    <row r="4" spans="2:15" ht="20.100000000000001" customHeight="1">
      <c r="B4" s="1195" t="s">
        <v>918</v>
      </c>
      <c r="C4" s="1195"/>
      <c r="D4" s="1195"/>
      <c r="E4" s="1195"/>
      <c r="F4" s="1195"/>
      <c r="G4" s="1195"/>
      <c r="H4" s="1195"/>
      <c r="I4" s="1195"/>
      <c r="J4" s="1195"/>
      <c r="K4" s="1195"/>
      <c r="L4" s="1195"/>
      <c r="M4" s="1195"/>
      <c r="N4" s="1195"/>
      <c r="O4" s="1195"/>
    </row>
    <row r="6" spans="2:15" ht="20.100000000000001" customHeight="1">
      <c r="B6" s="217" t="s">
        <v>892</v>
      </c>
      <c r="C6" s="218">
        <v>2017</v>
      </c>
      <c r="D6" s="218">
        <v>2016</v>
      </c>
      <c r="E6" s="216">
        <v>2015</v>
      </c>
      <c r="F6" s="216">
        <v>2014</v>
      </c>
      <c r="G6" s="216">
        <v>2013</v>
      </c>
      <c r="H6" s="216">
        <v>2012</v>
      </c>
    </row>
    <row r="7" spans="2:15" ht="20.100000000000001" customHeight="1">
      <c r="B7" s="363" t="s">
        <v>917</v>
      </c>
      <c r="C7" s="376">
        <v>62</v>
      </c>
      <c r="D7" s="1060">
        <v>60</v>
      </c>
      <c r="E7" s="1060">
        <v>61</v>
      </c>
      <c r="F7" s="1060">
        <v>51</v>
      </c>
      <c r="G7" s="1060">
        <v>52</v>
      </c>
      <c r="H7" s="1059">
        <v>51</v>
      </c>
    </row>
    <row r="8" spans="2:15" ht="20.100000000000001" customHeight="1">
      <c r="B8" s="363" t="s">
        <v>916</v>
      </c>
      <c r="C8" s="376">
        <v>283</v>
      </c>
      <c r="D8" s="351">
        <v>324</v>
      </c>
      <c r="E8" s="351">
        <v>346</v>
      </c>
      <c r="F8" s="351">
        <v>344</v>
      </c>
      <c r="G8" s="351">
        <v>340</v>
      </c>
      <c r="H8" s="358">
        <v>351</v>
      </c>
    </row>
    <row r="9" spans="2:15" ht="20.100000000000001" customHeight="1">
      <c r="B9" s="363" t="s">
        <v>915</v>
      </c>
      <c r="C9" s="376">
        <v>196</v>
      </c>
      <c r="D9" s="351">
        <v>182</v>
      </c>
      <c r="E9" s="351">
        <v>190</v>
      </c>
      <c r="F9" s="351">
        <v>148</v>
      </c>
      <c r="G9" s="351">
        <v>146</v>
      </c>
      <c r="H9" s="358">
        <v>153</v>
      </c>
    </row>
    <row r="10" spans="2:15" ht="20.100000000000001" customHeight="1">
      <c r="B10" s="363" t="s">
        <v>914</v>
      </c>
      <c r="C10" s="376">
        <v>726</v>
      </c>
      <c r="D10" s="351">
        <v>795</v>
      </c>
      <c r="E10" s="351">
        <v>825</v>
      </c>
      <c r="F10" s="351">
        <v>787</v>
      </c>
      <c r="G10" s="351">
        <v>739</v>
      </c>
      <c r="H10" s="358">
        <v>734</v>
      </c>
    </row>
    <row r="11" spans="2:15" ht="20.100000000000001" customHeight="1">
      <c r="B11" s="363" t="s">
        <v>913</v>
      </c>
      <c r="C11" s="376">
        <v>115</v>
      </c>
      <c r="D11" s="351">
        <v>140</v>
      </c>
      <c r="E11" s="351">
        <v>131</v>
      </c>
      <c r="F11" s="351">
        <v>134</v>
      </c>
      <c r="G11" s="351">
        <v>133</v>
      </c>
      <c r="H11" s="358">
        <v>160</v>
      </c>
    </row>
    <row r="12" spans="2:15" ht="20.100000000000001" customHeight="1">
      <c r="B12" s="363" t="s">
        <v>912</v>
      </c>
      <c r="C12" s="376">
        <v>16</v>
      </c>
      <c r="D12" s="351">
        <v>12</v>
      </c>
      <c r="E12" s="351">
        <v>17</v>
      </c>
      <c r="F12" s="351">
        <v>20</v>
      </c>
      <c r="G12" s="351">
        <v>18</v>
      </c>
      <c r="H12" s="358">
        <v>11</v>
      </c>
    </row>
    <row r="13" spans="2:15" ht="20.100000000000001" customHeight="1">
      <c r="B13" s="363" t="s">
        <v>911</v>
      </c>
      <c r="C13" s="376">
        <v>32</v>
      </c>
      <c r="D13" s="351">
        <v>34</v>
      </c>
      <c r="E13" s="351">
        <v>31</v>
      </c>
      <c r="F13" s="351">
        <v>29</v>
      </c>
      <c r="G13" s="351">
        <v>33</v>
      </c>
      <c r="H13" s="358">
        <v>30</v>
      </c>
    </row>
    <row r="14" spans="2:15" ht="20.100000000000001" customHeight="1">
      <c r="B14" s="365" t="s">
        <v>910</v>
      </c>
      <c r="C14" s="997">
        <v>328</v>
      </c>
      <c r="D14" s="126">
        <v>324</v>
      </c>
      <c r="E14" s="126">
        <v>330</v>
      </c>
      <c r="F14" s="126">
        <v>229</v>
      </c>
      <c r="G14" s="126">
        <v>219</v>
      </c>
      <c r="H14" s="359">
        <v>246</v>
      </c>
    </row>
    <row r="15" spans="2:15" ht="20.100000000000001" customHeight="1">
      <c r="B15" s="1065" t="s">
        <v>36</v>
      </c>
      <c r="C15" s="1064">
        <f>+SUM(C7:C14)</f>
        <v>1758</v>
      </c>
      <c r="D15" s="1064">
        <v>1871</v>
      </c>
      <c r="E15" s="1064">
        <v>1931</v>
      </c>
      <c r="F15" s="1064">
        <v>1742</v>
      </c>
      <c r="G15" s="1064">
        <v>1680</v>
      </c>
      <c r="H15" s="1064">
        <v>1736</v>
      </c>
    </row>
    <row r="16" spans="2:15" ht="9" customHeight="1"/>
    <row r="17" spans="2:15" ht="20.100000000000001" customHeight="1">
      <c r="B17" s="1161" t="s">
        <v>909</v>
      </c>
      <c r="C17" s="1161"/>
      <c r="D17" s="1161"/>
      <c r="E17" s="1161"/>
      <c r="F17" s="1161"/>
      <c r="G17" s="1161"/>
      <c r="H17" s="1161"/>
      <c r="I17" s="1161"/>
      <c r="J17" s="1161"/>
      <c r="K17" s="1161"/>
      <c r="L17" s="1161"/>
      <c r="M17" s="1161"/>
      <c r="N17" s="1161"/>
      <c r="O17" s="1161"/>
    </row>
    <row r="18" spans="2:15" ht="20.100000000000001" customHeight="1">
      <c r="B18" s="1161" t="s">
        <v>908</v>
      </c>
      <c r="C18" s="1161"/>
      <c r="D18" s="1161"/>
      <c r="E18" s="1161"/>
      <c r="F18" s="1161"/>
      <c r="G18" s="1161"/>
      <c r="H18" s="1161"/>
      <c r="I18" s="1161"/>
      <c r="J18" s="1161"/>
      <c r="K18" s="1161"/>
      <c r="L18" s="1161"/>
      <c r="M18" s="1161"/>
      <c r="N18" s="1161"/>
      <c r="O18" s="1161"/>
    </row>
  </sheetData>
  <mergeCells count="4">
    <mergeCell ref="B2:O2"/>
    <mergeCell ref="B4:O4"/>
    <mergeCell ref="B17:O17"/>
    <mergeCell ref="B18:O18"/>
  </mergeCells>
  <pageMargins left="0.74803149606299213" right="0.74803149606299213" top="0.98425196850393704" bottom="0.98425196850393704" header="0.51181102362204722" footer="0.51181102362204722"/>
  <pageSetup paperSize="9" scale="64" orientation="landscape"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67">
    <tabColor rgb="FF00A37F"/>
    <pageSetUpPr fitToPage="1"/>
  </sheetPr>
  <dimension ref="B2:K19"/>
  <sheetViews>
    <sheetView showGridLines="0" zoomScaleNormal="100" zoomScalePageLayoutView="150" workbookViewId="0"/>
  </sheetViews>
  <sheetFormatPr defaultColWidth="10.875" defaultRowHeight="20.100000000000001" customHeight="1"/>
  <cols>
    <col min="1" max="1" width="5.5" style="468" customWidth="1"/>
    <col min="2" max="2" width="39.375" style="468" customWidth="1"/>
    <col min="3" max="16384" width="10.875" style="468"/>
  </cols>
  <sheetData>
    <row r="2" spans="2:11" ht="20.100000000000001" customHeight="1">
      <c r="B2" s="1156" t="s">
        <v>938</v>
      </c>
      <c r="C2" s="1156"/>
      <c r="D2" s="1156"/>
      <c r="E2" s="1156"/>
      <c r="F2" s="1156"/>
      <c r="G2" s="1156"/>
      <c r="H2" s="1156"/>
      <c r="I2" s="1156"/>
      <c r="J2" s="1156"/>
    </row>
    <row r="4" spans="2:11" ht="20.100000000000001" customHeight="1">
      <c r="B4" s="1073"/>
      <c r="C4" s="1233">
        <v>2017</v>
      </c>
      <c r="D4" s="1233"/>
      <c r="E4" s="1233"/>
      <c r="F4" s="1234"/>
      <c r="G4" s="1072">
        <v>2016</v>
      </c>
      <c r="H4" s="1072">
        <v>2015</v>
      </c>
      <c r="I4" s="1072">
        <v>2014</v>
      </c>
      <c r="J4" s="216">
        <v>2013</v>
      </c>
      <c r="K4" s="216">
        <v>2012</v>
      </c>
    </row>
    <row r="5" spans="2:11" ht="42" customHeight="1">
      <c r="B5" s="217" t="s">
        <v>937</v>
      </c>
      <c r="C5" s="215" t="s">
        <v>936</v>
      </c>
      <c r="D5" s="1042" t="s">
        <v>935</v>
      </c>
      <c r="E5" s="1042" t="s">
        <v>934</v>
      </c>
      <c r="F5" s="215" t="s">
        <v>933</v>
      </c>
      <c r="G5" s="215" t="s">
        <v>933</v>
      </c>
      <c r="H5" s="215" t="s">
        <v>933</v>
      </c>
      <c r="I5" s="215" t="s">
        <v>933</v>
      </c>
      <c r="J5" s="215" t="s">
        <v>933</v>
      </c>
      <c r="K5" s="215" t="s">
        <v>932</v>
      </c>
    </row>
    <row r="6" spans="2:11" ht="20.100000000000001" customHeight="1">
      <c r="B6" s="363" t="s">
        <v>931</v>
      </c>
      <c r="C6" s="1071">
        <v>4283</v>
      </c>
      <c r="D6" s="1071">
        <v>1525</v>
      </c>
      <c r="E6" s="1071">
        <v>1571</v>
      </c>
      <c r="F6" s="1071">
        <v>7379</v>
      </c>
      <c r="G6" s="1056">
        <v>7468</v>
      </c>
      <c r="H6" s="1056">
        <v>7433</v>
      </c>
      <c r="I6" s="1056">
        <v>7791</v>
      </c>
      <c r="J6" s="1056">
        <v>7654</v>
      </c>
      <c r="K6" s="1056">
        <v>8039</v>
      </c>
    </row>
    <row r="7" spans="2:11" ht="20.100000000000001" customHeight="1">
      <c r="B7" s="363" t="s">
        <v>930</v>
      </c>
      <c r="C7" s="1070">
        <v>2903</v>
      </c>
      <c r="D7" s="1070">
        <v>1512</v>
      </c>
      <c r="E7" s="1070">
        <v>2494</v>
      </c>
      <c r="F7" s="1070">
        <v>6909</v>
      </c>
      <c r="G7" s="1054">
        <v>6843.5</v>
      </c>
      <c r="H7" s="1054">
        <v>6783</v>
      </c>
      <c r="I7" s="1054">
        <v>6773</v>
      </c>
      <c r="J7" s="1054">
        <v>5635</v>
      </c>
      <c r="K7" s="1054">
        <v>5795</v>
      </c>
    </row>
    <row r="8" spans="2:11" ht="20.100000000000001" customHeight="1">
      <c r="B8" s="363" t="s">
        <v>929</v>
      </c>
      <c r="C8" s="1070">
        <v>1120</v>
      </c>
      <c r="D8" s="1070">
        <v>445</v>
      </c>
      <c r="E8" s="1070">
        <v>792</v>
      </c>
      <c r="F8" s="1070">
        <v>2357</v>
      </c>
      <c r="G8" s="1054">
        <v>2338</v>
      </c>
      <c r="H8" s="1054">
        <v>2338</v>
      </c>
      <c r="I8" s="1054">
        <v>2338</v>
      </c>
      <c r="J8" s="1054">
        <v>2289</v>
      </c>
      <c r="K8" s="1054">
        <v>2239</v>
      </c>
    </row>
    <row r="9" spans="2:11" ht="20.100000000000001" customHeight="1">
      <c r="B9" s="363" t="s">
        <v>928</v>
      </c>
      <c r="C9" s="1070">
        <v>1350</v>
      </c>
      <c r="D9" s="1070">
        <v>1200</v>
      </c>
      <c r="E9" s="1070">
        <v>400</v>
      </c>
      <c r="F9" s="1070">
        <v>2950</v>
      </c>
      <c r="G9" s="1054">
        <v>2950</v>
      </c>
      <c r="H9" s="1054">
        <v>2950</v>
      </c>
      <c r="I9" s="1054">
        <v>2950</v>
      </c>
      <c r="J9" s="1054">
        <v>2895</v>
      </c>
      <c r="K9" s="1054">
        <v>2875</v>
      </c>
    </row>
    <row r="10" spans="2:11" ht="20.100000000000001" customHeight="1">
      <c r="B10" s="363" t="s">
        <v>927</v>
      </c>
      <c r="C10" s="1070">
        <v>637</v>
      </c>
      <c r="D10" s="1070">
        <v>700</v>
      </c>
      <c r="E10" s="1070">
        <v>408</v>
      </c>
      <c r="F10" s="1070">
        <v>1745</v>
      </c>
      <c r="G10" s="1054">
        <v>1745</v>
      </c>
      <c r="H10" s="1054">
        <v>1745</v>
      </c>
      <c r="I10" s="1054">
        <v>1805</v>
      </c>
      <c r="J10" s="1054">
        <v>1530</v>
      </c>
      <c r="K10" s="1054">
        <v>1595</v>
      </c>
    </row>
    <row r="11" spans="2:11" ht="20.100000000000001" customHeight="1">
      <c r="B11" s="998" t="s">
        <v>926</v>
      </c>
      <c r="C11" s="1069" t="s">
        <v>925</v>
      </c>
      <c r="D11" s="1069" t="s">
        <v>925</v>
      </c>
      <c r="E11" s="1069">
        <v>63</v>
      </c>
      <c r="F11" s="1069">
        <v>63</v>
      </c>
      <c r="G11" s="1068">
        <v>62.5</v>
      </c>
      <c r="H11" s="1068">
        <v>63</v>
      </c>
      <c r="I11" s="1068">
        <v>63</v>
      </c>
      <c r="J11" s="1068">
        <v>63</v>
      </c>
      <c r="K11" s="1068">
        <v>358</v>
      </c>
    </row>
    <row r="12" spans="2:11" ht="20.100000000000001" customHeight="1">
      <c r="B12" s="1065" t="s">
        <v>36</v>
      </c>
      <c r="C12" s="1064">
        <v>10293</v>
      </c>
      <c r="D12" s="1064">
        <v>5382</v>
      </c>
      <c r="E12" s="1064">
        <v>5727</v>
      </c>
      <c r="F12" s="1064">
        <v>21401</v>
      </c>
      <c r="G12" s="1064">
        <v>21407</v>
      </c>
      <c r="H12" s="1064">
        <v>21312</v>
      </c>
      <c r="I12" s="1064">
        <v>21720</v>
      </c>
      <c r="J12" s="1064">
        <v>20065</v>
      </c>
      <c r="K12" s="1064">
        <v>20900</v>
      </c>
    </row>
    <row r="14" spans="2:11" ht="14.1" customHeight="1">
      <c r="B14" s="1228" t="s">
        <v>924</v>
      </c>
      <c r="C14" s="1228"/>
      <c r="D14" s="1228"/>
      <c r="E14" s="1228"/>
      <c r="F14" s="1228"/>
      <c r="G14" s="1228"/>
      <c r="H14" s="1228"/>
      <c r="I14" s="1228"/>
      <c r="J14" s="1228"/>
    </row>
    <row r="15" spans="2:11" ht="14.1" customHeight="1">
      <c r="B15" s="1067" t="s">
        <v>923</v>
      </c>
      <c r="C15" s="1067"/>
      <c r="D15" s="1067"/>
      <c r="E15" s="1067"/>
      <c r="F15" s="1067"/>
      <c r="G15" s="1067"/>
      <c r="H15" s="1067"/>
      <c r="I15" s="1067"/>
      <c r="J15" s="1067"/>
    </row>
    <row r="16" spans="2:11" ht="14.1" customHeight="1">
      <c r="B16" s="1047" t="s">
        <v>922</v>
      </c>
      <c r="C16" s="1066"/>
      <c r="D16" s="1066"/>
      <c r="E16" s="1066"/>
      <c r="F16" s="1066"/>
      <c r="G16" s="1066"/>
      <c r="H16" s="1066"/>
      <c r="I16" s="1066"/>
      <c r="J16" s="1066"/>
    </row>
    <row r="17" spans="2:10" ht="14.1" customHeight="1">
      <c r="B17" s="1047" t="s">
        <v>921</v>
      </c>
      <c r="C17" s="1066"/>
      <c r="D17" s="1066"/>
      <c r="E17" s="1066"/>
      <c r="F17" s="1066"/>
      <c r="G17" s="1066"/>
      <c r="H17" s="1066"/>
      <c r="I17" s="1066"/>
      <c r="J17" s="1066"/>
    </row>
    <row r="18" spans="2:10" ht="14.1" customHeight="1">
      <c r="B18" s="1066" t="s">
        <v>920</v>
      </c>
      <c r="C18" s="1066"/>
      <c r="D18" s="1066"/>
      <c r="E18" s="1066"/>
      <c r="F18" s="1066"/>
      <c r="G18" s="1066"/>
      <c r="H18" s="1066"/>
      <c r="I18" s="1066"/>
      <c r="J18" s="1066"/>
    </row>
    <row r="19" spans="2:10" ht="14.1" customHeight="1">
      <c r="I19" s="1066"/>
      <c r="J19" s="1066"/>
    </row>
  </sheetData>
  <mergeCells count="3">
    <mergeCell ref="B2:J2"/>
    <mergeCell ref="B14:J14"/>
    <mergeCell ref="C4:F4"/>
  </mergeCells>
  <pageMargins left="0.74803149606299213" right="0.74803149606299213" top="0.98425196850393704" bottom="0.98425196850393704" header="0.51181102362204722" footer="0.51181102362204722"/>
  <pageSetup paperSize="9" scale="55" orientation="portrait"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68">
    <tabColor rgb="FF00A37F"/>
  </sheetPr>
  <dimension ref="B2:I11"/>
  <sheetViews>
    <sheetView showGridLines="0" zoomScaleNormal="100" zoomScalePageLayoutView="150" workbookViewId="0">
      <selection activeCell="H17" sqref="H17"/>
    </sheetView>
  </sheetViews>
  <sheetFormatPr defaultColWidth="10.875" defaultRowHeight="20.100000000000001" customHeight="1"/>
  <cols>
    <col min="1" max="1" width="5.5" style="468" customWidth="1"/>
    <col min="2" max="2" width="39.375" style="468" customWidth="1"/>
    <col min="3" max="4" width="10.875" style="468" customWidth="1"/>
    <col min="5" max="16384" width="10.875" style="468"/>
  </cols>
  <sheetData>
    <row r="2" spans="2:9" ht="20.100000000000001" customHeight="1">
      <c r="B2" s="1156" t="s">
        <v>940</v>
      </c>
      <c r="C2" s="1156"/>
      <c r="D2" s="1156"/>
      <c r="E2" s="1156"/>
      <c r="F2" s="1156"/>
      <c r="G2" s="1156"/>
      <c r="H2" s="1156"/>
      <c r="I2" s="1156"/>
    </row>
    <row r="3" spans="2:9" ht="20.100000000000001" customHeight="1">
      <c r="B3" s="1079"/>
    </row>
    <row r="4" spans="2:9" ht="20.100000000000001" customHeight="1">
      <c r="B4" s="217" t="s">
        <v>903</v>
      </c>
      <c r="C4" s="218">
        <v>2017</v>
      </c>
      <c r="D4" s="218">
        <v>2016</v>
      </c>
      <c r="E4" s="216">
        <v>2015</v>
      </c>
      <c r="F4" s="216">
        <v>2014</v>
      </c>
      <c r="G4" s="216">
        <v>2013</v>
      </c>
      <c r="H4" s="215" t="s">
        <v>882</v>
      </c>
    </row>
    <row r="5" spans="2:9" ht="20.100000000000001" customHeight="1">
      <c r="B5" s="363" t="s">
        <v>40</v>
      </c>
      <c r="C5" s="391">
        <v>0.1</v>
      </c>
      <c r="D5" s="1078">
        <v>0.12</v>
      </c>
      <c r="E5" s="1078">
        <v>0.13</v>
      </c>
      <c r="F5" s="1078">
        <v>0.15</v>
      </c>
      <c r="G5" s="1078">
        <v>0.18</v>
      </c>
      <c r="H5" s="1077">
        <v>0.21</v>
      </c>
    </row>
    <row r="6" spans="2:9" ht="20.100000000000001" customHeight="1">
      <c r="B6" s="363" t="s">
        <v>41</v>
      </c>
      <c r="C6" s="391">
        <v>0.37</v>
      </c>
      <c r="D6" s="374">
        <v>0.41</v>
      </c>
      <c r="E6" s="374">
        <v>0.41</v>
      </c>
      <c r="F6" s="374">
        <v>0.39</v>
      </c>
      <c r="G6" s="374">
        <v>0.4</v>
      </c>
      <c r="H6" s="420">
        <v>0.45</v>
      </c>
    </row>
    <row r="7" spans="2:9" ht="20.100000000000001" customHeight="1">
      <c r="B7" s="363" t="s">
        <v>42</v>
      </c>
      <c r="C7" s="391">
        <v>0.31</v>
      </c>
      <c r="D7" s="374">
        <v>0.3</v>
      </c>
      <c r="E7" s="374">
        <v>0.34</v>
      </c>
      <c r="F7" s="374">
        <v>0.33</v>
      </c>
      <c r="G7" s="374">
        <v>0.28000000000000003</v>
      </c>
      <c r="H7" s="420">
        <v>0.22</v>
      </c>
    </row>
    <row r="8" spans="2:9" ht="20.100000000000001" customHeight="1">
      <c r="B8" s="365" t="s">
        <v>44</v>
      </c>
      <c r="C8" s="1076">
        <v>0.22</v>
      </c>
      <c r="D8" s="168">
        <v>0.16</v>
      </c>
      <c r="E8" s="168">
        <v>0.12</v>
      </c>
      <c r="F8" s="168">
        <v>0.13</v>
      </c>
      <c r="G8" s="168">
        <v>0.14000000000000001</v>
      </c>
      <c r="H8" s="1075">
        <v>0.12</v>
      </c>
    </row>
    <row r="9" spans="2:9" ht="20.100000000000001" customHeight="1">
      <c r="B9" s="1065" t="s">
        <v>36</v>
      </c>
      <c r="C9" s="1074">
        <v>1</v>
      </c>
      <c r="D9" s="1074">
        <v>1</v>
      </c>
      <c r="E9" s="1074">
        <v>1</v>
      </c>
      <c r="F9" s="1074">
        <v>1</v>
      </c>
      <c r="G9" s="1074">
        <v>1</v>
      </c>
      <c r="H9" s="1074">
        <v>1</v>
      </c>
    </row>
    <row r="10" spans="2:9" ht="12.95" customHeight="1"/>
    <row r="11" spans="2:9" ht="24.75" customHeight="1">
      <c r="B11" s="1158" t="s">
        <v>939</v>
      </c>
      <c r="C11" s="1158"/>
      <c r="D11" s="1158"/>
      <c r="E11" s="1235"/>
      <c r="F11" s="1235"/>
      <c r="G11" s="1235"/>
      <c r="H11" s="1235"/>
      <c r="I11" s="1235"/>
    </row>
  </sheetData>
  <mergeCells count="2">
    <mergeCell ref="B2:I2"/>
    <mergeCell ref="B11:I11"/>
  </mergeCells>
  <pageMargins left="0.75" right="0.75" top="1" bottom="1" header="0.5" footer="0.5"/>
  <pageSetup paperSize="9" scale="62" orientation="portrait"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69">
    <tabColor rgb="FF00A37F"/>
  </sheetPr>
  <dimension ref="B2:I10"/>
  <sheetViews>
    <sheetView showGridLines="0" zoomScaleNormal="100" zoomScalePageLayoutView="150" workbookViewId="0">
      <selection activeCell="H17" sqref="H17"/>
    </sheetView>
  </sheetViews>
  <sheetFormatPr defaultColWidth="10.875" defaultRowHeight="20.100000000000001" customHeight="1"/>
  <cols>
    <col min="1" max="1" width="5.5" style="468" customWidth="1"/>
    <col min="2" max="2" width="39.375" style="468" customWidth="1"/>
    <col min="3" max="4" width="10.875" style="468" customWidth="1"/>
    <col min="5" max="16384" width="10.875" style="468"/>
  </cols>
  <sheetData>
    <row r="2" spans="2:9" ht="20.100000000000001" customHeight="1">
      <c r="B2" s="1169" t="s">
        <v>946</v>
      </c>
      <c r="C2" s="1156"/>
      <c r="D2" s="1156"/>
      <c r="E2" s="1156"/>
      <c r="F2" s="1156"/>
      <c r="G2" s="1156"/>
      <c r="H2" s="1156"/>
      <c r="I2" s="1156"/>
    </row>
    <row r="4" spans="2:9" ht="20.100000000000001" customHeight="1">
      <c r="B4" s="217" t="s">
        <v>13</v>
      </c>
      <c r="C4" s="218">
        <v>2017</v>
      </c>
      <c r="D4" s="218">
        <v>2016</v>
      </c>
      <c r="E4" s="216">
        <v>2015</v>
      </c>
      <c r="F4" s="216">
        <v>2014</v>
      </c>
      <c r="G4" s="215" t="s">
        <v>883</v>
      </c>
      <c r="H4" s="215" t="s">
        <v>882</v>
      </c>
    </row>
    <row r="5" spans="2:9" ht="20.100000000000001" customHeight="1">
      <c r="B5" s="363" t="s">
        <v>945</v>
      </c>
      <c r="C5" s="376">
        <v>4645.1879866725703</v>
      </c>
      <c r="D5" s="1059">
        <v>4471.4777687094129</v>
      </c>
      <c r="E5" s="1059">
        <v>4256</v>
      </c>
      <c r="F5" s="1059">
        <v>4599</v>
      </c>
      <c r="G5" s="1059">
        <v>4351</v>
      </c>
      <c r="H5" s="1059">
        <v>4066</v>
      </c>
    </row>
    <row r="6" spans="2:9" ht="20.100000000000001" customHeight="1">
      <c r="B6" s="363" t="s">
        <v>944</v>
      </c>
      <c r="C6" s="376" t="s">
        <v>14</v>
      </c>
      <c r="D6" s="358" t="s">
        <v>14</v>
      </c>
      <c r="E6" s="358">
        <v>155</v>
      </c>
      <c r="F6" s="358">
        <v>2043</v>
      </c>
      <c r="G6" s="358">
        <v>1999</v>
      </c>
      <c r="H6" s="358">
        <v>1990</v>
      </c>
    </row>
    <row r="7" spans="2:9" ht="20.100000000000001" customHeight="1">
      <c r="B7" s="363" t="s">
        <v>943</v>
      </c>
      <c r="C7" s="376">
        <v>81.337916700000008</v>
      </c>
      <c r="D7" s="1080">
        <v>1101.8238612</v>
      </c>
      <c r="E7" s="1080">
        <v>1093</v>
      </c>
      <c r="F7" s="1080">
        <v>1261</v>
      </c>
      <c r="G7" s="1080">
        <v>1175</v>
      </c>
      <c r="H7" s="1080">
        <v>1240</v>
      </c>
    </row>
    <row r="8" spans="2:9" ht="12" customHeight="1"/>
    <row r="9" spans="2:9" s="467" customFormat="1" ht="20.100000000000001" customHeight="1">
      <c r="B9" s="1161" t="s">
        <v>942</v>
      </c>
      <c r="C9" s="1161"/>
      <c r="D9" s="1161"/>
      <c r="E9" s="1161"/>
      <c r="F9" s="1161"/>
      <c r="G9" s="1161"/>
      <c r="H9" s="1161"/>
      <c r="I9" s="1161"/>
    </row>
    <row r="10" spans="2:9" ht="20.100000000000001" customHeight="1">
      <c r="B10" s="1161" t="s">
        <v>941</v>
      </c>
      <c r="C10" s="1161"/>
      <c r="D10" s="1161"/>
      <c r="E10" s="1161"/>
      <c r="F10" s="1161"/>
      <c r="G10" s="1161"/>
      <c r="H10" s="1161"/>
      <c r="I10" s="1161"/>
    </row>
  </sheetData>
  <mergeCells count="3">
    <mergeCell ref="B2:I2"/>
    <mergeCell ref="B9:I9"/>
    <mergeCell ref="B10:I10"/>
  </mergeCells>
  <pageMargins left="0.75" right="0.75" top="1" bottom="1" header="0.5" footer="0.5"/>
  <pageSetup paperSize="9" scale="6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7">
    <tabColor rgb="FF0076BD"/>
    <pageSetUpPr fitToPage="1"/>
  </sheetPr>
  <dimension ref="B2:AA27"/>
  <sheetViews>
    <sheetView showGridLines="0" view="pageBreakPreview" zoomScaleNormal="85" zoomScaleSheetLayoutView="100" zoomScalePageLayoutView="85" workbookViewId="0">
      <selection activeCell="H17" sqref="H17"/>
    </sheetView>
  </sheetViews>
  <sheetFormatPr defaultColWidth="11" defaultRowHeight="20.100000000000001" customHeight="1"/>
  <cols>
    <col min="1" max="1" width="5.5" style="451" customWidth="1"/>
    <col min="2" max="2" width="39.375" style="451" customWidth="1"/>
    <col min="3" max="13" width="10.5" style="451" customWidth="1"/>
    <col min="14" max="14" width="10.375" style="451" customWidth="1"/>
    <col min="15" max="15" width="9.625" style="451" bestFit="1" customWidth="1"/>
    <col min="16" max="25" width="10.5" style="451" customWidth="1"/>
    <col min="26" max="16384" width="11" style="451"/>
  </cols>
  <sheetData>
    <row r="2" spans="2:26" ht="20.100000000000001" customHeight="1">
      <c r="B2" s="1156" t="str">
        <f>UPPER("Market environment and price realizations")</f>
        <v>MARKET ENVIRONMENT AND PRICE REALIZATIONS</v>
      </c>
      <c r="C2" s="1156"/>
      <c r="D2" s="1156"/>
      <c r="E2" s="1156"/>
      <c r="F2" s="1156"/>
      <c r="G2" s="1156"/>
      <c r="H2" s="449"/>
      <c r="I2" s="449"/>
      <c r="J2" s="449"/>
      <c r="K2" s="449"/>
      <c r="L2" s="449"/>
      <c r="M2" s="449"/>
      <c r="N2" s="449"/>
      <c r="O2" s="449"/>
      <c r="P2" s="449"/>
      <c r="Q2" s="449"/>
      <c r="R2" s="449"/>
      <c r="S2" s="449"/>
      <c r="T2" s="449"/>
      <c r="U2" s="449"/>
      <c r="V2" s="449"/>
      <c r="W2" s="449"/>
      <c r="X2" s="449"/>
      <c r="Y2" s="449"/>
    </row>
    <row r="4" spans="2:26" ht="20.100000000000001" customHeight="1">
      <c r="C4" s="340">
        <v>2017</v>
      </c>
      <c r="D4" s="1166" t="s">
        <v>5</v>
      </c>
      <c r="E4" s="1166"/>
      <c r="F4" s="1166"/>
      <c r="G4" s="1166"/>
      <c r="I4" s="340">
        <v>2016</v>
      </c>
      <c r="J4" s="1166" t="s">
        <v>5</v>
      </c>
      <c r="K4" s="1166"/>
      <c r="L4" s="1166"/>
      <c r="M4" s="1166"/>
      <c r="O4" s="340">
        <v>2015</v>
      </c>
      <c r="P4" s="1166" t="s">
        <v>5</v>
      </c>
      <c r="Q4" s="1166"/>
      <c r="R4" s="1166"/>
      <c r="S4" s="1166"/>
    </row>
    <row r="5" spans="2:26" ht="20.100000000000001" customHeight="1">
      <c r="B5" s="427"/>
      <c r="C5" s="427" t="s">
        <v>6</v>
      </c>
      <c r="D5" s="321" t="s">
        <v>7</v>
      </c>
      <c r="E5" s="321" t="s">
        <v>8</v>
      </c>
      <c r="F5" s="321" t="s">
        <v>9</v>
      </c>
      <c r="G5" s="321" t="s">
        <v>10</v>
      </c>
      <c r="I5" s="427" t="s">
        <v>6</v>
      </c>
      <c r="J5" s="321" t="s">
        <v>7</v>
      </c>
      <c r="K5" s="321" t="s">
        <v>8</v>
      </c>
      <c r="L5" s="321" t="s">
        <v>9</v>
      </c>
      <c r="M5" s="321" t="s">
        <v>10</v>
      </c>
      <c r="O5" s="427" t="s">
        <v>6</v>
      </c>
      <c r="P5" s="321" t="s">
        <v>7</v>
      </c>
      <c r="Q5" s="321" t="s">
        <v>8</v>
      </c>
      <c r="R5" s="321" t="s">
        <v>9</v>
      </c>
      <c r="S5" s="321" t="s">
        <v>10</v>
      </c>
    </row>
    <row r="6" spans="2:26" ht="20.100000000000001" customHeight="1">
      <c r="B6" s="15" t="s">
        <v>138</v>
      </c>
      <c r="C6" s="60"/>
      <c r="D6" s="323"/>
      <c r="E6" s="323"/>
      <c r="F6" s="323"/>
      <c r="G6" s="72"/>
      <c r="I6" s="60"/>
      <c r="J6" s="323"/>
      <c r="K6" s="323"/>
      <c r="L6" s="323"/>
      <c r="M6" s="278"/>
      <c r="O6" s="60"/>
      <c r="P6" s="323"/>
      <c r="Q6" s="323"/>
      <c r="R6" s="323"/>
      <c r="S6" s="72"/>
    </row>
    <row r="7" spans="2:26" ht="20.100000000000001" customHeight="1">
      <c r="B7" s="363" t="s">
        <v>139</v>
      </c>
      <c r="C7" s="92">
        <f>+'Market environment (p7)'!C6</f>
        <v>1.1299999999999999</v>
      </c>
      <c r="D7" s="92">
        <v>1.06</v>
      </c>
      <c r="E7" s="92">
        <v>1.1000000000000001</v>
      </c>
      <c r="F7" s="92">
        <v>1.17</v>
      </c>
      <c r="G7" s="266">
        <v>1.18</v>
      </c>
      <c r="H7" s="451" t="s">
        <v>19</v>
      </c>
      <c r="I7" s="447">
        <v>1.107</v>
      </c>
      <c r="J7" s="447">
        <v>1.1020000000000001</v>
      </c>
      <c r="K7" s="447">
        <v>1.1292</v>
      </c>
      <c r="L7" s="447">
        <v>1.1166</v>
      </c>
      <c r="M7" s="448">
        <v>1.0789</v>
      </c>
      <c r="N7" s="451" t="s">
        <v>19</v>
      </c>
      <c r="O7" s="98">
        <v>1.1100000000000001</v>
      </c>
      <c r="P7" s="98">
        <v>1.1299999999999999</v>
      </c>
      <c r="Q7" s="98">
        <v>1.1100000000000001</v>
      </c>
      <c r="R7" s="98">
        <v>1.1100000000000001</v>
      </c>
      <c r="S7" s="64">
        <v>1.1000000000000001</v>
      </c>
    </row>
    <row r="8" spans="2:26" ht="20.100000000000001" customHeight="1">
      <c r="B8" s="363" t="s">
        <v>140</v>
      </c>
      <c r="C8" s="93">
        <f>+'Market environment (p7)'!C8</f>
        <v>54.2</v>
      </c>
      <c r="D8" s="93">
        <v>53.7</v>
      </c>
      <c r="E8" s="93">
        <v>49.6</v>
      </c>
      <c r="F8" s="93">
        <v>52.1</v>
      </c>
      <c r="G8" s="224">
        <v>61.26</v>
      </c>
      <c r="H8" s="451" t="s">
        <v>19</v>
      </c>
      <c r="I8" s="182">
        <v>43.7</v>
      </c>
      <c r="J8" s="182">
        <v>33.9</v>
      </c>
      <c r="K8" s="182">
        <v>45.6</v>
      </c>
      <c r="L8" s="182">
        <v>45.9</v>
      </c>
      <c r="M8" s="288">
        <v>49.3</v>
      </c>
      <c r="N8" s="451" t="s">
        <v>19</v>
      </c>
      <c r="O8" s="68">
        <v>52.4</v>
      </c>
      <c r="P8" s="68">
        <v>53.9</v>
      </c>
      <c r="Q8" s="68">
        <v>61.9</v>
      </c>
      <c r="R8" s="68">
        <v>50.5</v>
      </c>
      <c r="S8" s="65">
        <v>43.8</v>
      </c>
      <c r="T8" s="66"/>
      <c r="Z8" s="66"/>
    </row>
    <row r="9" spans="2:26" ht="20.100000000000001" customHeight="1">
      <c r="B9" s="365" t="s">
        <v>195</v>
      </c>
      <c r="C9" s="158">
        <f>+'Market environment (p7)'!C9</f>
        <v>40.9</v>
      </c>
      <c r="D9" s="157">
        <v>38.9</v>
      </c>
      <c r="E9" s="157">
        <v>41</v>
      </c>
      <c r="F9" s="157">
        <v>48.2</v>
      </c>
      <c r="G9" s="158">
        <v>35.5</v>
      </c>
      <c r="H9" s="451" t="s">
        <v>19</v>
      </c>
      <c r="I9" s="289">
        <v>34.1</v>
      </c>
      <c r="J9" s="290">
        <v>35.1</v>
      </c>
      <c r="K9" s="290">
        <v>35</v>
      </c>
      <c r="L9" s="290">
        <v>25.5</v>
      </c>
      <c r="M9" s="291">
        <v>41</v>
      </c>
      <c r="N9" s="241" t="s">
        <v>19</v>
      </c>
      <c r="O9" s="245">
        <v>48.5</v>
      </c>
      <c r="P9" s="246">
        <v>47.1</v>
      </c>
      <c r="Q9" s="246">
        <v>54.1</v>
      </c>
      <c r="R9" s="246">
        <v>54.8</v>
      </c>
      <c r="S9" s="247">
        <v>38.1</v>
      </c>
      <c r="T9" s="241"/>
      <c r="Z9" s="66"/>
    </row>
    <row r="10" spans="2:26" ht="20.100000000000001" customHeight="1">
      <c r="B10" s="370" t="s">
        <v>194</v>
      </c>
      <c r="C10" s="140"/>
      <c r="D10" s="140"/>
      <c r="E10" s="140"/>
      <c r="F10" s="140"/>
      <c r="G10" s="140"/>
      <c r="H10" s="451" t="s">
        <v>19</v>
      </c>
      <c r="I10" s="248"/>
      <c r="J10" s="248"/>
      <c r="K10" s="248"/>
      <c r="L10" s="248"/>
      <c r="M10" s="279"/>
      <c r="N10" s="451" t="s">
        <v>19</v>
      </c>
      <c r="O10" s="248"/>
      <c r="P10" s="248"/>
      <c r="Q10" s="248"/>
      <c r="R10" s="248"/>
      <c r="S10" s="248"/>
      <c r="T10" s="66"/>
      <c r="Z10" s="66"/>
    </row>
    <row r="11" spans="2:26" ht="20.100000000000001" customHeight="1">
      <c r="B11" s="363" t="s">
        <v>196</v>
      </c>
      <c r="C11" s="94">
        <v>50.2</v>
      </c>
      <c r="D11" s="93">
        <v>49.2</v>
      </c>
      <c r="E11" s="93">
        <v>45.1</v>
      </c>
      <c r="F11" s="93">
        <v>48.9</v>
      </c>
      <c r="G11" s="224">
        <v>57.6</v>
      </c>
      <c r="H11" s="451" t="s">
        <v>19</v>
      </c>
      <c r="I11" s="375">
        <v>40.299999999999997</v>
      </c>
      <c r="J11" s="182">
        <v>31</v>
      </c>
      <c r="K11" s="182">
        <v>43</v>
      </c>
      <c r="L11" s="182">
        <v>41.4</v>
      </c>
      <c r="M11" s="288">
        <v>46.1</v>
      </c>
      <c r="N11" s="451" t="s">
        <v>19</v>
      </c>
      <c r="O11" s="67">
        <v>47.4</v>
      </c>
      <c r="P11" s="68">
        <v>49.5</v>
      </c>
      <c r="Q11" s="68">
        <v>58.2</v>
      </c>
      <c r="R11" s="68">
        <v>44</v>
      </c>
      <c r="S11" s="65">
        <v>38.1</v>
      </c>
      <c r="T11" s="66"/>
      <c r="Z11" s="66"/>
    </row>
    <row r="12" spans="2:26" ht="20.100000000000001" customHeight="1">
      <c r="B12" s="8" t="s">
        <v>141</v>
      </c>
      <c r="C12" s="95">
        <v>4.08</v>
      </c>
      <c r="D12" s="96">
        <v>4.0999999999999996</v>
      </c>
      <c r="E12" s="96">
        <v>3.93</v>
      </c>
      <c r="F12" s="96">
        <v>4.05</v>
      </c>
      <c r="G12" s="267">
        <v>4.2300000000000004</v>
      </c>
      <c r="H12" s="69" t="s">
        <v>19</v>
      </c>
      <c r="I12" s="292">
        <v>3.56</v>
      </c>
      <c r="J12" s="293">
        <v>3.46</v>
      </c>
      <c r="K12" s="293">
        <v>3.43</v>
      </c>
      <c r="L12" s="293">
        <v>3.45</v>
      </c>
      <c r="M12" s="294">
        <v>3.89</v>
      </c>
      <c r="N12" s="69" t="s">
        <v>19</v>
      </c>
      <c r="O12" s="99">
        <v>4.75</v>
      </c>
      <c r="P12" s="100">
        <v>5.38</v>
      </c>
      <c r="Q12" s="100">
        <v>4.67</v>
      </c>
      <c r="R12" s="100">
        <v>4.47</v>
      </c>
      <c r="S12" s="70">
        <v>4.45</v>
      </c>
      <c r="T12" s="69"/>
      <c r="Z12" s="69"/>
    </row>
    <row r="14" spans="2:26" s="450" customFormat="1" ht="14.1" customHeight="1">
      <c r="O14" s="495"/>
      <c r="P14" s="495"/>
      <c r="Q14" s="495"/>
      <c r="R14" s="495"/>
      <c r="S14" s="495"/>
      <c r="T14" s="495"/>
      <c r="U14" s="495"/>
      <c r="V14" s="495"/>
      <c r="W14" s="495"/>
      <c r="X14" s="495"/>
      <c r="Y14" s="495"/>
    </row>
    <row r="15" spans="2:26" s="450" customFormat="1" ht="14.1" customHeight="1">
      <c r="C15" s="340">
        <v>2014</v>
      </c>
      <c r="D15" s="1166" t="s">
        <v>5</v>
      </c>
      <c r="E15" s="1166"/>
      <c r="F15" s="1166"/>
      <c r="G15" s="1166"/>
      <c r="I15" s="340">
        <v>2013</v>
      </c>
      <c r="J15" s="1166" t="s">
        <v>5</v>
      </c>
      <c r="K15" s="1166"/>
      <c r="L15" s="1166"/>
      <c r="M15" s="1166"/>
    </row>
    <row r="16" spans="2:26" s="450" customFormat="1" ht="14.1" customHeight="1">
      <c r="C16" s="427" t="s">
        <v>6</v>
      </c>
      <c r="D16" s="321" t="s">
        <v>7</v>
      </c>
      <c r="E16" s="321" t="s">
        <v>8</v>
      </c>
      <c r="F16" s="321" t="s">
        <v>9</v>
      </c>
      <c r="G16" s="321" t="s">
        <v>10</v>
      </c>
      <c r="I16" s="427" t="s">
        <v>6</v>
      </c>
      <c r="J16" s="321" t="s">
        <v>7</v>
      </c>
      <c r="K16" s="321" t="s">
        <v>8</v>
      </c>
      <c r="L16" s="321" t="s">
        <v>9</v>
      </c>
      <c r="M16" s="321" t="s">
        <v>10</v>
      </c>
    </row>
    <row r="17" spans="2:27" s="450" customFormat="1" ht="14.1" customHeight="1">
      <c r="B17" s="15" t="s">
        <v>138</v>
      </c>
      <c r="C17" s="322"/>
      <c r="D17" s="323"/>
      <c r="E17" s="323"/>
      <c r="F17" s="323"/>
      <c r="G17" s="324"/>
      <c r="I17" s="322"/>
      <c r="J17" s="323"/>
      <c r="K17" s="323"/>
      <c r="L17" s="323"/>
      <c r="M17" s="324"/>
    </row>
    <row r="18" spans="2:27" s="450" customFormat="1" ht="20.100000000000001" customHeight="1">
      <c r="B18" s="363" t="s">
        <v>139</v>
      </c>
      <c r="C18" s="98">
        <v>1.33</v>
      </c>
      <c r="D18" s="98">
        <v>1.37</v>
      </c>
      <c r="E18" s="98">
        <v>1.37</v>
      </c>
      <c r="F18" s="98">
        <v>1.33</v>
      </c>
      <c r="G18" s="64">
        <v>1.25</v>
      </c>
      <c r="I18" s="97">
        <v>1.33</v>
      </c>
      <c r="J18" s="98">
        <v>1.32</v>
      </c>
      <c r="K18" s="98">
        <v>1.31</v>
      </c>
      <c r="L18" s="98">
        <v>1.32</v>
      </c>
      <c r="M18" s="64">
        <v>1.36</v>
      </c>
      <c r="O18" s="451"/>
      <c r="P18" s="451"/>
      <c r="Q18" s="451"/>
      <c r="R18" s="451"/>
      <c r="S18" s="451"/>
      <c r="T18" s="451"/>
      <c r="U18" s="451"/>
      <c r="V18" s="451"/>
      <c r="W18" s="451"/>
      <c r="X18" s="451"/>
      <c r="Y18" s="451"/>
      <c r="Z18" s="451"/>
      <c r="AA18" s="451"/>
    </row>
    <row r="19" spans="2:27" s="450" customFormat="1" ht="20.100000000000001" customHeight="1">
      <c r="B19" s="363" t="s">
        <v>140</v>
      </c>
      <c r="C19" s="68">
        <v>99</v>
      </c>
      <c r="D19" s="68">
        <v>108.2</v>
      </c>
      <c r="E19" s="68">
        <v>109.7</v>
      </c>
      <c r="F19" s="68">
        <v>101.9</v>
      </c>
      <c r="G19" s="65">
        <v>76.599999999999994</v>
      </c>
      <c r="I19" s="67">
        <v>108.7</v>
      </c>
      <c r="J19" s="68">
        <v>112.6</v>
      </c>
      <c r="K19" s="68">
        <v>102.4</v>
      </c>
      <c r="L19" s="68">
        <v>110.3</v>
      </c>
      <c r="M19" s="65">
        <v>109.2</v>
      </c>
      <c r="O19" s="451"/>
      <c r="P19" s="451"/>
      <c r="Q19" s="451"/>
      <c r="R19" s="451"/>
      <c r="S19" s="451"/>
      <c r="T19" s="451"/>
      <c r="U19" s="451"/>
      <c r="V19" s="451"/>
      <c r="W19" s="451"/>
      <c r="X19" s="451"/>
      <c r="Y19" s="451"/>
      <c r="Z19" s="451"/>
      <c r="AA19" s="451"/>
    </row>
    <row r="20" spans="2:27" s="450" customFormat="1" ht="20.100000000000001" customHeight="1">
      <c r="B20" s="365" t="s">
        <v>171</v>
      </c>
      <c r="C20" s="325">
        <v>18.7</v>
      </c>
      <c r="D20" s="326">
        <v>6.6</v>
      </c>
      <c r="E20" s="326">
        <v>10.9</v>
      </c>
      <c r="F20" s="326">
        <v>29.9</v>
      </c>
      <c r="G20" s="327">
        <v>27.6</v>
      </c>
      <c r="I20" s="325">
        <v>17.899999999999999</v>
      </c>
      <c r="J20" s="326">
        <v>26.9</v>
      </c>
      <c r="K20" s="326">
        <v>24.1</v>
      </c>
      <c r="L20" s="326">
        <v>10.6</v>
      </c>
      <c r="M20" s="327">
        <v>10.1</v>
      </c>
      <c r="Y20" s="451"/>
      <c r="Z20" s="451"/>
      <c r="AA20" s="451"/>
    </row>
    <row r="21" spans="2:27" s="450" customFormat="1" ht="20.100000000000001" customHeight="1">
      <c r="B21" s="370" t="s">
        <v>164</v>
      </c>
      <c r="C21" s="494"/>
      <c r="D21" s="493"/>
      <c r="E21" s="493"/>
      <c r="F21" s="493"/>
      <c r="G21" s="492"/>
      <c r="I21" s="494"/>
      <c r="J21" s="493"/>
      <c r="K21" s="493"/>
      <c r="L21" s="493"/>
      <c r="M21" s="492"/>
    </row>
    <row r="22" spans="2:27" s="450" customFormat="1" ht="20.100000000000001" customHeight="1">
      <c r="B22" s="363" t="s">
        <v>165</v>
      </c>
      <c r="C22" s="67">
        <v>89.4</v>
      </c>
      <c r="D22" s="68">
        <v>102.1</v>
      </c>
      <c r="E22" s="68">
        <v>103</v>
      </c>
      <c r="F22" s="68">
        <v>94</v>
      </c>
      <c r="G22" s="65">
        <v>61.7</v>
      </c>
      <c r="I22" s="67">
        <v>103.3</v>
      </c>
      <c r="J22" s="68">
        <v>106.7</v>
      </c>
      <c r="K22" s="68">
        <v>96.6</v>
      </c>
      <c r="L22" s="68">
        <v>107.2</v>
      </c>
      <c r="M22" s="65">
        <v>102.5</v>
      </c>
      <c r="O22" s="451"/>
      <c r="P22" s="451"/>
      <c r="Q22" s="451"/>
      <c r="R22" s="451"/>
      <c r="S22" s="451"/>
      <c r="T22" s="451"/>
      <c r="U22" s="451"/>
      <c r="V22" s="451"/>
      <c r="W22" s="451"/>
      <c r="X22" s="451"/>
      <c r="Y22" s="451"/>
      <c r="Z22" s="451"/>
      <c r="AA22" s="451"/>
    </row>
    <row r="23" spans="2:27" s="450" customFormat="1" ht="20.100000000000001" customHeight="1">
      <c r="B23" s="8" t="s">
        <v>141</v>
      </c>
      <c r="C23" s="99">
        <v>6.57</v>
      </c>
      <c r="D23" s="100">
        <v>7.06</v>
      </c>
      <c r="E23" s="100">
        <v>6.52</v>
      </c>
      <c r="F23" s="100">
        <v>6.4</v>
      </c>
      <c r="G23" s="70">
        <v>6.29</v>
      </c>
      <c r="I23" s="99">
        <v>7.12</v>
      </c>
      <c r="J23" s="100">
        <v>7.31</v>
      </c>
      <c r="K23" s="100">
        <v>6.62</v>
      </c>
      <c r="L23" s="100">
        <v>7.18</v>
      </c>
      <c r="M23" s="70">
        <v>7.36</v>
      </c>
      <c r="O23" s="451"/>
      <c r="P23" s="451"/>
      <c r="Q23" s="451"/>
      <c r="R23" s="451"/>
      <c r="S23" s="451"/>
      <c r="T23" s="451"/>
      <c r="U23" s="451"/>
      <c r="V23" s="451"/>
      <c r="W23" s="451"/>
      <c r="X23" s="451"/>
      <c r="Y23" s="451"/>
      <c r="Z23" s="451"/>
      <c r="AA23" s="451"/>
    </row>
    <row r="24" spans="2:27" s="450" customFormat="1" ht="20.100000000000001" customHeight="1">
      <c r="O24" s="451"/>
      <c r="P24" s="451"/>
      <c r="Q24" s="451"/>
      <c r="R24" s="451"/>
      <c r="S24" s="451"/>
      <c r="T24" s="451"/>
      <c r="U24" s="451"/>
      <c r="V24" s="451"/>
      <c r="W24" s="451"/>
      <c r="X24" s="451"/>
    </row>
    <row r="25" spans="2:27" s="450" customFormat="1" ht="20.100000000000001" customHeight="1">
      <c r="B25" s="450" t="s">
        <v>193</v>
      </c>
    </row>
    <row r="26" spans="2:27" s="450" customFormat="1" ht="20.100000000000001" customHeight="1">
      <c r="B26" s="450" t="s">
        <v>246</v>
      </c>
    </row>
    <row r="27" spans="2:27" s="450" customFormat="1" ht="14.1" customHeight="1">
      <c r="B27" s="450" t="s">
        <v>197</v>
      </c>
    </row>
  </sheetData>
  <mergeCells count="6">
    <mergeCell ref="D15:G15"/>
    <mergeCell ref="B2:G2"/>
    <mergeCell ref="D4:G4"/>
    <mergeCell ref="J4:M4"/>
    <mergeCell ref="P4:S4"/>
    <mergeCell ref="J15:M15"/>
  </mergeCells>
  <pageMargins left="0" right="0" top="0" bottom="0" header="0" footer="0"/>
  <pageSetup paperSize="9" scale="59" orientation="landscape"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70">
    <tabColor rgb="FF00A37F"/>
  </sheetPr>
  <dimension ref="B2:I12"/>
  <sheetViews>
    <sheetView showGridLines="0" zoomScaleNormal="100" zoomScalePageLayoutView="150" workbookViewId="0">
      <selection activeCell="B2" sqref="B2:I2"/>
    </sheetView>
  </sheetViews>
  <sheetFormatPr defaultColWidth="10.875" defaultRowHeight="20.100000000000001" customHeight="1"/>
  <cols>
    <col min="1" max="1" width="5.5" style="468" customWidth="1"/>
    <col min="2" max="2" width="39.375" style="468" customWidth="1"/>
    <col min="3" max="4" width="10.875" style="468" customWidth="1"/>
    <col min="5" max="16384" width="10.875" style="468"/>
  </cols>
  <sheetData>
    <row r="2" spans="2:9" ht="20.100000000000001" customHeight="1">
      <c r="B2" s="1156" t="s">
        <v>1080</v>
      </c>
      <c r="C2" s="1156"/>
      <c r="D2" s="1156"/>
      <c r="E2" s="1156"/>
      <c r="F2" s="1156"/>
      <c r="G2" s="1156"/>
      <c r="H2" s="1156"/>
      <c r="I2" s="1156"/>
    </row>
    <row r="4" spans="2:9" ht="20.100000000000001" customHeight="1">
      <c r="B4" s="217" t="s">
        <v>903</v>
      </c>
      <c r="C4" s="218">
        <v>2017</v>
      </c>
      <c r="D4" s="218">
        <v>2016</v>
      </c>
      <c r="E4" s="216">
        <v>2015</v>
      </c>
      <c r="F4" s="216">
        <v>2014</v>
      </c>
      <c r="G4" s="215" t="s">
        <v>883</v>
      </c>
      <c r="H4" s="215" t="s">
        <v>882</v>
      </c>
    </row>
    <row r="5" spans="2:9" ht="20.100000000000001" customHeight="1">
      <c r="B5" s="363" t="s">
        <v>40</v>
      </c>
      <c r="C5" s="391">
        <v>0.184</v>
      </c>
      <c r="D5" s="1078">
        <v>0.15</v>
      </c>
      <c r="E5" s="1078">
        <v>0.14000000000000001</v>
      </c>
      <c r="F5" s="1078">
        <v>0.14000000000000001</v>
      </c>
      <c r="G5" s="1078">
        <v>0.15</v>
      </c>
      <c r="H5" s="1077">
        <v>0.16</v>
      </c>
    </row>
    <row r="6" spans="2:9" ht="20.100000000000001" customHeight="1">
      <c r="B6" s="363" t="s">
        <v>41</v>
      </c>
      <c r="C6" s="391">
        <v>0.40200000000000002</v>
      </c>
      <c r="D6" s="374">
        <v>0.35</v>
      </c>
      <c r="E6" s="374">
        <v>0.35</v>
      </c>
      <c r="F6" s="374">
        <v>0.35</v>
      </c>
      <c r="G6" s="374">
        <v>0.34</v>
      </c>
      <c r="H6" s="420">
        <v>0.33</v>
      </c>
    </row>
    <row r="7" spans="2:9" ht="20.100000000000001" customHeight="1">
      <c r="B7" s="363" t="s">
        <v>42</v>
      </c>
      <c r="C7" s="391">
        <v>0.26</v>
      </c>
      <c r="D7" s="374">
        <v>0.25</v>
      </c>
      <c r="E7" s="374">
        <v>0.26</v>
      </c>
      <c r="F7" s="374">
        <v>0.24</v>
      </c>
      <c r="G7" s="374">
        <v>0.24</v>
      </c>
      <c r="H7" s="420">
        <v>0.24</v>
      </c>
    </row>
    <row r="8" spans="2:9" ht="20.100000000000001" customHeight="1">
      <c r="B8" s="365" t="s">
        <v>44</v>
      </c>
      <c r="C8" s="1076">
        <v>0.155</v>
      </c>
      <c r="D8" s="168">
        <v>0.25</v>
      </c>
      <c r="E8" s="168">
        <v>0.25</v>
      </c>
      <c r="F8" s="168">
        <v>0.27</v>
      </c>
      <c r="G8" s="168">
        <v>0.27</v>
      </c>
      <c r="H8" s="1075">
        <v>0.27</v>
      </c>
    </row>
    <row r="9" spans="2:9" ht="20.100000000000001" customHeight="1">
      <c r="B9" s="1065" t="s">
        <v>36</v>
      </c>
      <c r="C9" s="1074">
        <v>1</v>
      </c>
      <c r="D9" s="1074">
        <v>1</v>
      </c>
      <c r="E9" s="1074">
        <v>1</v>
      </c>
      <c r="F9" s="1074">
        <v>1</v>
      </c>
      <c r="G9" s="1074">
        <v>1</v>
      </c>
      <c r="H9" s="1074">
        <v>1</v>
      </c>
    </row>
    <row r="10" spans="2:9" ht="14.1" customHeight="1"/>
    <row r="11" spans="2:9" ht="15" customHeight="1">
      <c r="B11" s="1161" t="s">
        <v>947</v>
      </c>
      <c r="C11" s="1161"/>
      <c r="D11" s="1161"/>
      <c r="E11" s="1161"/>
      <c r="F11" s="1161"/>
      <c r="G11" s="1161"/>
      <c r="H11" s="1161"/>
      <c r="I11" s="1161"/>
    </row>
    <row r="12" spans="2:9" ht="24.75" customHeight="1">
      <c r="B12" s="1184"/>
      <c r="C12" s="1184"/>
      <c r="D12" s="1184"/>
      <c r="E12" s="1184"/>
      <c r="F12" s="1184"/>
      <c r="G12" s="1184"/>
      <c r="H12" s="1184"/>
      <c r="I12" s="463"/>
    </row>
  </sheetData>
  <mergeCells count="3">
    <mergeCell ref="B2:I2"/>
    <mergeCell ref="B11:I11"/>
    <mergeCell ref="B12:H12"/>
  </mergeCells>
  <pageMargins left="0.75" right="0.75" top="1" bottom="1" header="0.5" footer="0.5"/>
  <pageSetup paperSize="9" scale="65" orientation="portrait"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71">
    <tabColor rgb="FF00A37F"/>
  </sheetPr>
  <dimension ref="A2:I13"/>
  <sheetViews>
    <sheetView showGridLines="0" zoomScaleNormal="100" zoomScalePageLayoutView="150" workbookViewId="0">
      <selection activeCell="B21" sqref="B21"/>
    </sheetView>
  </sheetViews>
  <sheetFormatPr defaultColWidth="10.875" defaultRowHeight="20.100000000000001" customHeight="1"/>
  <cols>
    <col min="1" max="1" width="5.5" style="468" customWidth="1"/>
    <col min="2" max="2" width="39.375" style="468" customWidth="1"/>
    <col min="3" max="4" width="10.875" style="468" customWidth="1"/>
    <col min="5" max="16384" width="10.875" style="468"/>
  </cols>
  <sheetData>
    <row r="2" spans="1:9" ht="20.100000000000001" customHeight="1">
      <c r="A2" s="1084"/>
      <c r="B2" s="1156" t="s">
        <v>1079</v>
      </c>
      <c r="C2" s="1156"/>
      <c r="D2" s="1156"/>
      <c r="E2" s="1156"/>
      <c r="F2" s="1156"/>
      <c r="G2" s="1156"/>
      <c r="H2" s="1156"/>
      <c r="I2" s="1156"/>
    </row>
    <row r="4" spans="1:9" ht="20.100000000000001" customHeight="1">
      <c r="B4" s="217" t="s">
        <v>903</v>
      </c>
      <c r="C4" s="218">
        <v>2017</v>
      </c>
      <c r="D4" s="218">
        <v>2016</v>
      </c>
      <c r="E4" s="216">
        <v>2015</v>
      </c>
      <c r="F4" s="216">
        <v>2014</v>
      </c>
      <c r="G4" s="215" t="s">
        <v>883</v>
      </c>
      <c r="H4" s="215" t="s">
        <v>882</v>
      </c>
    </row>
    <row r="5" spans="1:9" ht="20.100000000000001" customHeight="1">
      <c r="B5" s="363" t="s">
        <v>952</v>
      </c>
      <c r="C5" s="391">
        <v>0.98</v>
      </c>
      <c r="D5" s="1078">
        <v>0.8</v>
      </c>
      <c r="E5" s="1078">
        <v>0.77</v>
      </c>
      <c r="F5" s="1078">
        <v>0.57999999999999996</v>
      </c>
      <c r="G5" s="1078">
        <v>0.57999999999999996</v>
      </c>
      <c r="H5" s="1077">
        <v>0.56000000000000005</v>
      </c>
      <c r="I5" s="715"/>
    </row>
    <row r="6" spans="1:9" ht="20.100000000000001" customHeight="1">
      <c r="B6" s="363" t="s">
        <v>951</v>
      </c>
      <c r="C6" s="391" t="s">
        <v>14</v>
      </c>
      <c r="D6" s="374" t="s">
        <v>14</v>
      </c>
      <c r="E6" s="374">
        <v>0.03</v>
      </c>
      <c r="F6" s="374">
        <v>0.26</v>
      </c>
      <c r="G6" s="374">
        <v>0.27</v>
      </c>
      <c r="H6" s="420">
        <v>0.27</v>
      </c>
    </row>
    <row r="7" spans="1:9" ht="20.100000000000001" customHeight="1">
      <c r="B7" s="365" t="s">
        <v>950</v>
      </c>
      <c r="C7" s="1083">
        <v>0.02</v>
      </c>
      <c r="D7" s="168">
        <v>0.2</v>
      </c>
      <c r="E7" s="168">
        <v>0.2</v>
      </c>
      <c r="F7" s="168">
        <v>0.16</v>
      </c>
      <c r="G7" s="168">
        <v>0.16</v>
      </c>
      <c r="H7" s="1075">
        <v>0.17</v>
      </c>
    </row>
    <row r="8" spans="1:9" ht="20.100000000000001" customHeight="1">
      <c r="B8" s="1065" t="s">
        <v>36</v>
      </c>
      <c r="C8" s="1082">
        <v>1</v>
      </c>
      <c r="D8" s="1082">
        <v>1</v>
      </c>
      <c r="E8" s="1074">
        <v>1</v>
      </c>
      <c r="F8" s="1074">
        <v>1</v>
      </c>
      <c r="G8" s="1074">
        <v>1</v>
      </c>
      <c r="H8" s="1074">
        <v>1</v>
      </c>
    </row>
    <row r="9" spans="1:9" ht="6.95" customHeight="1"/>
    <row r="10" spans="1:9" ht="14.1" customHeight="1">
      <c r="B10" s="1161" t="s">
        <v>947</v>
      </c>
      <c r="C10" s="1161"/>
      <c r="D10" s="1161"/>
      <c r="E10" s="1161"/>
      <c r="F10" s="1161"/>
      <c r="G10" s="1161"/>
      <c r="H10" s="1161"/>
      <c r="I10" s="1161"/>
    </row>
    <row r="11" spans="1:9" ht="13.5" customHeight="1">
      <c r="B11" s="1158" t="s">
        <v>949</v>
      </c>
      <c r="C11" s="1158"/>
      <c r="D11" s="1158"/>
      <c r="E11" s="1158"/>
      <c r="F11" s="1158"/>
      <c r="G11" s="1158"/>
      <c r="H11" s="1158"/>
      <c r="I11" s="1158"/>
    </row>
    <row r="12" spans="1:9" ht="13.5" customHeight="1">
      <c r="B12" s="1158" t="s">
        <v>948</v>
      </c>
      <c r="C12" s="1158"/>
      <c r="D12" s="1158"/>
      <c r="E12" s="1158"/>
      <c r="F12" s="1158"/>
      <c r="G12" s="1158"/>
      <c r="H12" s="1158"/>
      <c r="I12" s="1158"/>
    </row>
    <row r="13" spans="1:9" ht="20.100000000000001" customHeight="1">
      <c r="B13" s="1081"/>
      <c r="C13" s="1081"/>
      <c r="D13" s="1081"/>
    </row>
  </sheetData>
  <mergeCells count="4">
    <mergeCell ref="B2:I2"/>
    <mergeCell ref="B10:I10"/>
    <mergeCell ref="B11:I11"/>
    <mergeCell ref="B12:I12"/>
  </mergeCells>
  <pageMargins left="0.75" right="0.75" top="1" bottom="1" header="0.5" footer="0.5"/>
  <pageSetup paperSize="9" scale="65" orientation="portrait" r:id="rId1"/>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72">
    <tabColor rgb="FFCF3087"/>
  </sheetPr>
  <dimension ref="A2:H44"/>
  <sheetViews>
    <sheetView showGridLines="0" view="pageBreakPreview" zoomScaleSheetLayoutView="100" workbookViewId="0">
      <selection activeCell="B20" sqref="B20"/>
    </sheetView>
  </sheetViews>
  <sheetFormatPr defaultColWidth="10.875" defaultRowHeight="20.100000000000001" customHeight="1"/>
  <cols>
    <col min="1" max="1" width="5.5" style="451" customWidth="1"/>
    <col min="2" max="2" width="63.375" style="451" customWidth="1"/>
    <col min="3" max="4" width="10.875" style="451" customWidth="1"/>
    <col min="5" max="6" width="10.875" style="451"/>
    <col min="7" max="7" width="10.5" style="451" customWidth="1"/>
    <col min="8" max="8" width="0.75" style="451" customWidth="1"/>
    <col min="9" max="12" width="10.875" style="451"/>
    <col min="13" max="13" width="10.375" style="451" customWidth="1"/>
    <col min="14" max="14" width="0" style="451" hidden="1" customWidth="1"/>
    <col min="15" max="16384" width="10.875" style="451"/>
  </cols>
  <sheetData>
    <row r="2" spans="2:8" ht="20.100000000000001" customHeight="1">
      <c r="B2" s="1156" t="s">
        <v>373</v>
      </c>
      <c r="C2" s="1156"/>
      <c r="D2" s="1156"/>
      <c r="E2" s="1156"/>
      <c r="F2" s="1156"/>
      <c r="G2" s="1156"/>
    </row>
    <row r="3" spans="2:8" ht="20.100000000000001" customHeight="1">
      <c r="B3" s="213"/>
      <c r="C3" s="213"/>
      <c r="D3" s="213"/>
    </row>
    <row r="4" spans="2:8" ht="20.100000000000001" customHeight="1">
      <c r="B4" s="212" t="s">
        <v>13</v>
      </c>
      <c r="C4" s="214">
        <v>2017</v>
      </c>
      <c r="D4" s="214">
        <v>2016</v>
      </c>
      <c r="E4" s="211">
        <v>2015</v>
      </c>
      <c r="F4" s="211">
        <v>2014</v>
      </c>
      <c r="G4" s="210">
        <v>2013</v>
      </c>
    </row>
    <row r="5" spans="2:8" ht="20.100000000000001" customHeight="1">
      <c r="B5" s="141" t="s">
        <v>368</v>
      </c>
      <c r="C5" s="440">
        <v>1676</v>
      </c>
      <c r="D5" s="576">
        <v>1559</v>
      </c>
      <c r="E5" s="576">
        <v>1591</v>
      </c>
      <c r="F5" s="576">
        <v>1254</v>
      </c>
      <c r="G5" s="583">
        <v>1554</v>
      </c>
    </row>
    <row r="6" spans="2:8" ht="20.100000000000001" customHeight="1">
      <c r="B6" s="141" t="s">
        <v>367</v>
      </c>
      <c r="C6" s="440">
        <v>1457</v>
      </c>
      <c r="D6" s="576">
        <v>1245</v>
      </c>
      <c r="E6" s="576">
        <v>1267</v>
      </c>
      <c r="F6" s="576">
        <v>1818</v>
      </c>
      <c r="G6" s="583">
        <v>1814</v>
      </c>
    </row>
    <row r="7" spans="2:8" ht="20.100000000000001" customHeight="1">
      <c r="B7" s="141" t="s">
        <v>366</v>
      </c>
      <c r="C7" s="440">
        <v>1019</v>
      </c>
      <c r="D7" s="576">
        <v>1003</v>
      </c>
      <c r="E7" s="576">
        <f>+'Organic investments by bs (p21)'!E8</f>
        <v>1130</v>
      </c>
      <c r="F7" s="576">
        <v>1424</v>
      </c>
      <c r="G7" s="583">
        <v>1579</v>
      </c>
    </row>
    <row r="8" spans="2:8" ht="20.100000000000001" customHeight="1">
      <c r="B8" s="141" t="s">
        <v>185</v>
      </c>
      <c r="C8" s="440">
        <v>413</v>
      </c>
      <c r="D8" s="575">
        <v>424</v>
      </c>
      <c r="E8" s="575">
        <v>767</v>
      </c>
      <c r="F8" s="575">
        <v>163</v>
      </c>
      <c r="G8" s="575">
        <v>186</v>
      </c>
    </row>
    <row r="9" spans="2:8" ht="20.100000000000001" customHeight="1">
      <c r="B9" s="141" t="s">
        <v>184</v>
      </c>
      <c r="C9" s="440">
        <v>2130</v>
      </c>
      <c r="D9" s="575">
        <v>1754</v>
      </c>
      <c r="E9" s="575">
        <v>2323</v>
      </c>
      <c r="F9" s="575">
        <v>2721</v>
      </c>
      <c r="G9" s="575">
        <v>2557</v>
      </c>
    </row>
    <row r="10" spans="2:8" s="471" customFormat="1" ht="20.100000000000001" customHeight="1">
      <c r="B10" s="563" t="s">
        <v>372</v>
      </c>
      <c r="C10" s="562">
        <v>2242</v>
      </c>
      <c r="D10" s="561">
        <v>1966</v>
      </c>
      <c r="E10" s="561">
        <v>2058</v>
      </c>
      <c r="F10" s="560">
        <v>2171</v>
      </c>
      <c r="G10" s="559">
        <v>2655</v>
      </c>
    </row>
    <row r="11" spans="2:8" s="471" customFormat="1" ht="11.25" customHeight="1">
      <c r="B11" s="582"/>
      <c r="C11" s="581"/>
      <c r="D11" s="557"/>
      <c r="E11" s="557"/>
      <c r="F11" s="580"/>
      <c r="G11" s="579"/>
    </row>
    <row r="12" spans="2:8" s="471" customFormat="1" ht="15" customHeight="1">
      <c r="B12" s="558" t="s">
        <v>1086</v>
      </c>
      <c r="C12" s="464"/>
      <c r="D12" s="464"/>
      <c r="E12" s="557"/>
      <c r="F12" s="556"/>
      <c r="G12" s="556"/>
    </row>
    <row r="13" spans="2:8" s="1149" customFormat="1" ht="12" customHeight="1">
      <c r="B13" s="558" t="s">
        <v>1085</v>
      </c>
      <c r="C13" s="1150"/>
      <c r="D13" s="1150"/>
      <c r="E13" s="557"/>
      <c r="F13" s="556"/>
      <c r="G13" s="556"/>
    </row>
    <row r="14" spans="2:8" s="471" customFormat="1" ht="13.5" customHeight="1">
      <c r="B14" s="464" t="s">
        <v>363</v>
      </c>
      <c r="C14" s="464"/>
      <c r="D14" s="464"/>
      <c r="E14" s="464"/>
      <c r="F14" s="464"/>
      <c r="G14" s="464"/>
    </row>
    <row r="15" spans="2:8" s="471" customFormat="1" ht="13.5" customHeight="1">
      <c r="B15" s="464" t="s">
        <v>362</v>
      </c>
      <c r="C15" s="464"/>
      <c r="D15" s="464"/>
      <c r="E15" s="464"/>
      <c r="F15" s="464"/>
      <c r="G15" s="464"/>
      <c r="H15" s="1186"/>
    </row>
    <row r="16" spans="2:8" s="471" customFormat="1" ht="13.5" customHeight="1">
      <c r="B16" s="464" t="s">
        <v>361</v>
      </c>
      <c r="E16" s="464"/>
      <c r="F16" s="464"/>
      <c r="G16" s="464"/>
      <c r="H16" s="1186"/>
    </row>
    <row r="17" spans="1:7" s="471" customFormat="1" ht="13.5" customHeight="1">
      <c r="A17" s="464"/>
      <c r="B17" s="464" t="s">
        <v>360</v>
      </c>
      <c r="E17" s="464"/>
      <c r="F17" s="464"/>
      <c r="G17" s="464"/>
    </row>
    <row r="18" spans="1:7" ht="20.100000000000001" customHeight="1">
      <c r="B18" s="1161"/>
      <c r="C18" s="1161"/>
      <c r="D18" s="1161"/>
      <c r="E18" s="1161"/>
      <c r="F18" s="1161"/>
      <c r="G18" s="1161"/>
    </row>
    <row r="44" ht="17.25" customHeight="1"/>
  </sheetData>
  <mergeCells count="3">
    <mergeCell ref="H15:H16"/>
    <mergeCell ref="B2:G2"/>
    <mergeCell ref="B18:G18"/>
  </mergeCells>
  <pageMargins left="0.74803149606299213" right="0.74803149606299213" top="0.98425196850393704" bottom="0.98425196850393704" header="0.51181102362204722" footer="0.51181102362204722"/>
  <pageSetup paperSize="9" scale="70" orientation="portrait"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73">
    <tabColor rgb="FFCF3087"/>
  </sheetPr>
  <dimension ref="B2:H11"/>
  <sheetViews>
    <sheetView showGridLines="0" workbookViewId="0">
      <selection activeCell="E26" sqref="E26"/>
    </sheetView>
  </sheetViews>
  <sheetFormatPr defaultColWidth="10.875" defaultRowHeight="20.100000000000001" customHeight="1"/>
  <cols>
    <col min="1" max="1" width="5.5" style="468" customWidth="1"/>
    <col min="2" max="2" width="45.5" style="468" customWidth="1"/>
    <col min="3" max="4" width="10.875" style="468" customWidth="1"/>
    <col min="5" max="16384" width="10.875" style="468"/>
  </cols>
  <sheetData>
    <row r="2" spans="2:8" ht="20.100000000000001" customHeight="1">
      <c r="B2" s="1156" t="str">
        <f>UPPER("Operational highlights")</f>
        <v>OPERATIONAL HIGHLIGHTS</v>
      </c>
      <c r="C2" s="1156"/>
      <c r="D2" s="1156"/>
      <c r="E2" s="1156"/>
      <c r="F2" s="1156"/>
      <c r="G2" s="1156"/>
    </row>
    <row r="4" spans="2:8" ht="20.100000000000001" customHeight="1">
      <c r="B4" s="212" t="s">
        <v>830</v>
      </c>
      <c r="C4" s="214">
        <v>2017</v>
      </c>
      <c r="D4" s="214">
        <v>2016</v>
      </c>
      <c r="E4" s="211">
        <v>2015</v>
      </c>
      <c r="F4" s="211">
        <v>2014</v>
      </c>
      <c r="G4" s="210">
        <v>2013</v>
      </c>
      <c r="H4" s="210">
        <v>2012</v>
      </c>
    </row>
    <row r="5" spans="2:8" ht="20.100000000000001" customHeight="1">
      <c r="B5" s="431" t="s">
        <v>958</v>
      </c>
      <c r="C5" s="1085">
        <v>1779</v>
      </c>
      <c r="D5" s="1085">
        <v>1793</v>
      </c>
      <c r="E5" s="1085">
        <v>1818</v>
      </c>
      <c r="F5" s="1085">
        <v>1769</v>
      </c>
      <c r="G5" s="1085">
        <v>1749</v>
      </c>
      <c r="H5" s="1085">
        <v>1710</v>
      </c>
    </row>
    <row r="6" spans="2:8" ht="20.100000000000001" customHeight="1">
      <c r="B6" s="363" t="s">
        <v>957</v>
      </c>
      <c r="C6" s="376">
        <v>1659</v>
      </c>
      <c r="D6" s="351">
        <v>1690</v>
      </c>
      <c r="E6" s="351">
        <v>1538</v>
      </c>
      <c r="F6" s="351">
        <v>1385</v>
      </c>
      <c r="G6" s="358">
        <v>1155</v>
      </c>
      <c r="H6" s="366">
        <v>1161</v>
      </c>
    </row>
    <row r="7" spans="2:8" ht="20.100000000000001" customHeight="1">
      <c r="B7" s="363" t="s">
        <v>956</v>
      </c>
      <c r="C7" s="376">
        <v>581</v>
      </c>
      <c r="D7" s="351">
        <v>700</v>
      </c>
      <c r="E7" s="351">
        <v>649</v>
      </c>
      <c r="F7" s="351">
        <v>615</v>
      </c>
      <c r="G7" s="358">
        <v>617</v>
      </c>
      <c r="H7" s="366">
        <v>690</v>
      </c>
    </row>
    <row r="8" spans="2:8" ht="20.100000000000001" customHeight="1">
      <c r="B8" s="431" t="s">
        <v>955</v>
      </c>
      <c r="C8" s="1085">
        <v>4019</v>
      </c>
      <c r="D8" s="1085">
        <v>4183</v>
      </c>
      <c r="E8" s="1085">
        <v>4005</v>
      </c>
      <c r="F8" s="1085">
        <v>3769</v>
      </c>
      <c r="G8" s="1085">
        <v>3521</v>
      </c>
      <c r="H8" s="1085">
        <v>3561</v>
      </c>
    </row>
    <row r="10" spans="2:8" ht="20.100000000000001" customHeight="1">
      <c r="B10" s="1236" t="s">
        <v>954</v>
      </c>
      <c r="C10" s="1236"/>
      <c r="D10" s="1236"/>
      <c r="E10" s="1237"/>
      <c r="F10" s="1237"/>
      <c r="G10" s="1237"/>
    </row>
    <row r="11" spans="2:8" ht="20.100000000000001" customHeight="1">
      <c r="B11" s="655" t="s">
        <v>953</v>
      </c>
    </row>
  </sheetData>
  <mergeCells count="2">
    <mergeCell ref="B2:G2"/>
    <mergeCell ref="B10:G10"/>
  </mergeCells>
  <pageMargins left="0.75" right="0.75" top="1" bottom="1" header="0.5" footer="0.5"/>
  <pageSetup paperSize="9" scale="72" orientation="portrait" horizontalDpi="4294967292" verticalDpi="4294967292"/>
  <drawing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74">
    <tabColor rgb="FFCF3087"/>
  </sheetPr>
  <dimension ref="B2:M45"/>
  <sheetViews>
    <sheetView showGridLines="0" zoomScaleNormal="100" zoomScalePageLayoutView="82" workbookViewId="0">
      <selection activeCell="B45" sqref="B45"/>
    </sheetView>
  </sheetViews>
  <sheetFormatPr defaultColWidth="10.875" defaultRowHeight="20.100000000000001" customHeight="1"/>
  <cols>
    <col min="1" max="1" width="5.5" style="468" customWidth="1"/>
    <col min="2" max="2" width="33.125" style="468" customWidth="1"/>
    <col min="3" max="3" width="10" style="468" customWidth="1"/>
    <col min="4" max="4" width="10.875" style="468" customWidth="1"/>
    <col min="5" max="16384" width="10.875" style="468"/>
  </cols>
  <sheetData>
    <row r="2" spans="2:9" ht="20.100000000000001" customHeight="1">
      <c r="B2" s="1156" t="str">
        <f>UPPER("Petroleum product sales (excluding trading and bulk sales)")</f>
        <v>PETROLEUM PRODUCT SALES (EXCLUDING TRADING AND BULK SALES)</v>
      </c>
      <c r="C2" s="1156"/>
      <c r="D2" s="1156"/>
      <c r="E2" s="1156"/>
      <c r="F2" s="1156"/>
      <c r="G2" s="1156"/>
      <c r="H2" s="1156"/>
    </row>
    <row r="3" spans="2:9" ht="20.100000000000001" customHeight="1">
      <c r="B3" s="1238" t="s">
        <v>137</v>
      </c>
      <c r="C3" s="1238"/>
      <c r="D3" s="1238"/>
      <c r="E3" s="1238"/>
      <c r="F3" s="1238"/>
      <c r="G3" s="1238"/>
      <c r="H3" s="1238"/>
    </row>
    <row r="4" spans="2:9" ht="20.100000000000001" customHeight="1">
      <c r="D4" s="468" t="s">
        <v>19</v>
      </c>
    </row>
    <row r="5" spans="2:9" ht="20.100000000000001" customHeight="1">
      <c r="B5" s="212" t="s">
        <v>984</v>
      </c>
      <c r="C5" s="214">
        <v>2017</v>
      </c>
      <c r="D5" s="214">
        <v>2016</v>
      </c>
      <c r="E5" s="211">
        <v>2015</v>
      </c>
      <c r="F5" s="211">
        <v>2014</v>
      </c>
      <c r="G5" s="211">
        <v>2013</v>
      </c>
      <c r="H5" s="214">
        <v>2012</v>
      </c>
      <c r="I5" s="211">
        <v>2011</v>
      </c>
    </row>
    <row r="6" spans="2:9" ht="20.100000000000001" customHeight="1">
      <c r="B6" s="1115" t="s">
        <v>936</v>
      </c>
      <c r="C6" s="1114"/>
      <c r="D6" s="1111"/>
      <c r="E6" s="1111"/>
      <c r="F6" s="1111"/>
      <c r="G6" s="1110"/>
      <c r="H6" s="341"/>
      <c r="I6" s="341"/>
    </row>
    <row r="7" spans="2:9" ht="20.100000000000001" customHeight="1">
      <c r="B7" s="363" t="s">
        <v>983</v>
      </c>
      <c r="C7" s="376">
        <v>519</v>
      </c>
      <c r="D7" s="351">
        <v>541</v>
      </c>
      <c r="E7" s="351">
        <v>541</v>
      </c>
      <c r="F7" s="351">
        <v>547</v>
      </c>
      <c r="G7" s="358">
        <v>575</v>
      </c>
      <c r="H7" s="366">
        <v>566</v>
      </c>
      <c r="I7" s="1102">
        <v>574</v>
      </c>
    </row>
    <row r="8" spans="2:9" ht="20.100000000000001" customHeight="1">
      <c r="B8" s="363" t="s">
        <v>452</v>
      </c>
      <c r="C8" s="376">
        <v>26</v>
      </c>
      <c r="D8" s="351">
        <v>27</v>
      </c>
      <c r="E8" s="351">
        <v>27</v>
      </c>
      <c r="F8" s="351">
        <v>26</v>
      </c>
      <c r="G8" s="358">
        <v>27</v>
      </c>
      <c r="H8" s="366">
        <v>26</v>
      </c>
      <c r="I8" s="1102">
        <v>115</v>
      </c>
    </row>
    <row r="9" spans="2:9" ht="20.100000000000001" customHeight="1">
      <c r="B9" s="363" t="s">
        <v>982</v>
      </c>
      <c r="C9" s="376">
        <v>205</v>
      </c>
      <c r="D9" s="351">
        <v>216</v>
      </c>
      <c r="E9" s="351">
        <v>214</v>
      </c>
      <c r="F9" s="351">
        <v>214</v>
      </c>
      <c r="G9" s="358">
        <v>211</v>
      </c>
      <c r="H9" s="366">
        <v>226</v>
      </c>
      <c r="I9" s="1102">
        <v>231</v>
      </c>
    </row>
    <row r="10" spans="2:9" ht="20.100000000000001" customHeight="1">
      <c r="B10" s="363" t="s">
        <v>981</v>
      </c>
      <c r="C10" s="376">
        <v>184</v>
      </c>
      <c r="D10" s="351">
        <v>192</v>
      </c>
      <c r="E10" s="351">
        <v>192</v>
      </c>
      <c r="F10" s="351">
        <v>195</v>
      </c>
      <c r="G10" s="358">
        <v>205</v>
      </c>
      <c r="H10" s="366">
        <v>207</v>
      </c>
      <c r="I10" s="1102">
        <v>214</v>
      </c>
    </row>
    <row r="11" spans="2:9" ht="20.100000000000001" customHeight="1">
      <c r="B11" s="363" t="s">
        <v>456</v>
      </c>
      <c r="C11" s="376">
        <v>77</v>
      </c>
      <c r="D11" s="351">
        <v>79</v>
      </c>
      <c r="E11" s="351">
        <v>81</v>
      </c>
      <c r="F11" s="351">
        <v>76</v>
      </c>
      <c r="G11" s="358">
        <v>77</v>
      </c>
      <c r="H11" s="366">
        <v>89</v>
      </c>
      <c r="I11" s="1102">
        <v>95</v>
      </c>
    </row>
    <row r="12" spans="2:9" ht="20.100000000000001" customHeight="1">
      <c r="B12" s="363" t="s">
        <v>980</v>
      </c>
      <c r="C12" s="376">
        <v>1</v>
      </c>
      <c r="D12" s="351">
        <v>1</v>
      </c>
      <c r="E12" s="351">
        <v>1</v>
      </c>
      <c r="F12" s="351">
        <v>1</v>
      </c>
      <c r="G12" s="358">
        <v>1</v>
      </c>
      <c r="H12" s="366">
        <v>1</v>
      </c>
      <c r="I12" s="1102">
        <v>163</v>
      </c>
    </row>
    <row r="13" spans="2:9" ht="20.100000000000001" customHeight="1">
      <c r="B13" s="363" t="s">
        <v>979</v>
      </c>
      <c r="C13" s="376"/>
      <c r="D13" s="351"/>
      <c r="E13" s="351" t="s">
        <v>14</v>
      </c>
      <c r="F13" s="351" t="s">
        <v>14</v>
      </c>
      <c r="G13" s="358" t="s">
        <v>14</v>
      </c>
      <c r="H13" s="366" t="s">
        <v>14</v>
      </c>
      <c r="I13" s="1102">
        <v>9</v>
      </c>
    </row>
    <row r="14" spans="2:9" ht="20.100000000000001" customHeight="1">
      <c r="B14" s="365" t="s">
        <v>41</v>
      </c>
      <c r="C14" s="377">
        <v>37</v>
      </c>
      <c r="D14" s="1113">
        <v>37</v>
      </c>
      <c r="E14" s="1113">
        <v>36</v>
      </c>
      <c r="F14" s="1113">
        <v>41</v>
      </c>
      <c r="G14" s="1112">
        <v>43</v>
      </c>
      <c r="H14" s="367">
        <v>45</v>
      </c>
      <c r="I14" s="1109">
        <v>54</v>
      </c>
    </row>
    <row r="15" spans="2:9" ht="20.100000000000001" customHeight="1">
      <c r="B15" s="433" t="s">
        <v>978</v>
      </c>
      <c r="C15" s="432">
        <v>1049</v>
      </c>
      <c r="D15" s="432">
        <v>1093</v>
      </c>
      <c r="E15" s="432">
        <v>1092</v>
      </c>
      <c r="F15" s="432">
        <v>1100</v>
      </c>
      <c r="G15" s="432">
        <v>1139</v>
      </c>
      <c r="H15" s="344">
        <v>1160</v>
      </c>
      <c r="I15" s="434">
        <v>1455</v>
      </c>
    </row>
    <row r="16" spans="2:9" ht="20.100000000000001" customHeight="1">
      <c r="B16" s="15" t="s">
        <v>43</v>
      </c>
      <c r="C16" s="198"/>
      <c r="D16" s="1111"/>
      <c r="E16" s="1111"/>
      <c r="F16" s="1111"/>
      <c r="G16" s="1110"/>
      <c r="H16" s="341"/>
      <c r="I16" s="341"/>
    </row>
    <row r="17" spans="2:9" ht="20.100000000000001" customHeight="1">
      <c r="B17" s="363" t="s">
        <v>977</v>
      </c>
      <c r="C17" s="376">
        <v>121</v>
      </c>
      <c r="D17" s="351">
        <v>119</v>
      </c>
      <c r="E17" s="351">
        <v>118</v>
      </c>
      <c r="F17" s="351">
        <v>108</v>
      </c>
      <c r="G17" s="358">
        <v>56</v>
      </c>
      <c r="H17" s="366">
        <v>56</v>
      </c>
      <c r="I17" s="1102">
        <v>56</v>
      </c>
    </row>
    <row r="18" spans="2:9" ht="20.100000000000001" customHeight="1">
      <c r="B18" s="363" t="s">
        <v>976</v>
      </c>
      <c r="C18" s="376">
        <v>82</v>
      </c>
      <c r="D18" s="351">
        <v>88</v>
      </c>
      <c r="E18" s="351">
        <v>85</v>
      </c>
      <c r="F18" s="351">
        <v>82</v>
      </c>
      <c r="G18" s="358">
        <v>78</v>
      </c>
      <c r="H18" s="366">
        <v>76</v>
      </c>
      <c r="I18" s="1102">
        <v>70</v>
      </c>
    </row>
    <row r="19" spans="2:9" ht="20.100000000000001" customHeight="1">
      <c r="B19" s="363" t="s">
        <v>975</v>
      </c>
      <c r="C19" s="376">
        <v>95</v>
      </c>
      <c r="D19" s="351">
        <v>84</v>
      </c>
      <c r="E19" s="351">
        <v>89</v>
      </c>
      <c r="F19" s="351">
        <v>72</v>
      </c>
      <c r="G19" s="358">
        <v>69</v>
      </c>
      <c r="H19" s="366">
        <v>56</v>
      </c>
      <c r="I19" s="1102">
        <v>53</v>
      </c>
    </row>
    <row r="20" spans="2:9" ht="20.100000000000001" customHeight="1">
      <c r="B20" s="363" t="s">
        <v>974</v>
      </c>
      <c r="C20" s="376">
        <v>93</v>
      </c>
      <c r="D20" s="351">
        <v>87</v>
      </c>
      <c r="E20" s="351">
        <v>87</v>
      </c>
      <c r="F20" s="351">
        <v>73</v>
      </c>
      <c r="G20" s="358">
        <v>69</v>
      </c>
      <c r="H20" s="366">
        <v>66</v>
      </c>
      <c r="I20" s="1102">
        <v>69</v>
      </c>
    </row>
    <row r="21" spans="2:9" ht="20.100000000000001" customHeight="1">
      <c r="B21" s="363" t="s">
        <v>973</v>
      </c>
      <c r="C21" s="376">
        <v>31</v>
      </c>
      <c r="D21" s="351">
        <v>31</v>
      </c>
      <c r="E21" s="351">
        <v>31</v>
      </c>
      <c r="F21" s="351">
        <v>30</v>
      </c>
      <c r="G21" s="358">
        <v>33</v>
      </c>
      <c r="H21" s="366">
        <v>32</v>
      </c>
      <c r="I21" s="1102">
        <v>32</v>
      </c>
    </row>
    <row r="22" spans="2:9" ht="20.100000000000001" customHeight="1">
      <c r="B22" s="365" t="s">
        <v>972</v>
      </c>
      <c r="C22" s="377">
        <v>9</v>
      </c>
      <c r="D22" s="126">
        <v>10</v>
      </c>
      <c r="E22" s="126">
        <v>13</v>
      </c>
      <c r="F22" s="126">
        <v>15</v>
      </c>
      <c r="G22" s="359">
        <v>21</v>
      </c>
      <c r="H22" s="367">
        <v>21</v>
      </c>
      <c r="I22" s="1109">
        <v>24</v>
      </c>
    </row>
    <row r="23" spans="2:9" ht="20.100000000000001" customHeight="1">
      <c r="B23" s="433" t="s">
        <v>843</v>
      </c>
      <c r="C23" s="432">
        <v>431</v>
      </c>
      <c r="D23" s="432">
        <v>419</v>
      </c>
      <c r="E23" s="432">
        <v>423</v>
      </c>
      <c r="F23" s="432">
        <v>380</v>
      </c>
      <c r="G23" s="432">
        <v>326</v>
      </c>
      <c r="H23" s="344">
        <v>307</v>
      </c>
      <c r="I23" s="434">
        <v>304</v>
      </c>
    </row>
    <row r="24" spans="2:9" ht="20.100000000000001" customHeight="1">
      <c r="B24" s="15" t="s">
        <v>443</v>
      </c>
      <c r="C24" s="198"/>
      <c r="D24" s="1111"/>
      <c r="E24" s="1111"/>
      <c r="F24" s="1111"/>
      <c r="G24" s="1110"/>
      <c r="H24" s="341"/>
      <c r="I24" s="341"/>
    </row>
    <row r="25" spans="2:9" ht="20.100000000000001" customHeight="1">
      <c r="B25" s="363" t="s">
        <v>435</v>
      </c>
      <c r="C25" s="376">
        <v>33</v>
      </c>
      <c r="D25" s="351">
        <v>27</v>
      </c>
      <c r="E25" s="351">
        <v>28</v>
      </c>
      <c r="F25" s="351">
        <v>29</v>
      </c>
      <c r="G25" s="358">
        <v>37</v>
      </c>
      <c r="H25" s="366">
        <v>3</v>
      </c>
      <c r="I25" s="1102">
        <v>3</v>
      </c>
    </row>
    <row r="26" spans="2:9" ht="20.100000000000001" customHeight="1">
      <c r="B26" s="363" t="s">
        <v>971</v>
      </c>
      <c r="C26" s="376">
        <v>41</v>
      </c>
      <c r="D26" s="351">
        <v>42</v>
      </c>
      <c r="E26" s="351">
        <v>35</v>
      </c>
      <c r="F26" s="351">
        <v>42</v>
      </c>
      <c r="G26" s="358">
        <v>41</v>
      </c>
      <c r="H26" s="366">
        <v>42</v>
      </c>
      <c r="I26" s="1102">
        <v>45</v>
      </c>
    </row>
    <row r="27" spans="2:9" ht="20.100000000000001" customHeight="1">
      <c r="B27" s="365" t="s">
        <v>970</v>
      </c>
      <c r="C27" s="377">
        <v>7</v>
      </c>
      <c r="D27" s="126">
        <v>7</v>
      </c>
      <c r="E27" s="126">
        <v>7</v>
      </c>
      <c r="F27" s="126">
        <v>7</v>
      </c>
      <c r="G27" s="359">
        <v>8</v>
      </c>
      <c r="H27" s="367">
        <v>8</v>
      </c>
      <c r="I27" s="1109">
        <v>8</v>
      </c>
    </row>
    <row r="28" spans="2:9" ht="20.100000000000001" customHeight="1">
      <c r="B28" s="433" t="s">
        <v>969</v>
      </c>
      <c r="C28" s="432">
        <v>81</v>
      </c>
      <c r="D28" s="432">
        <v>76</v>
      </c>
      <c r="E28" s="432">
        <v>70</v>
      </c>
      <c r="F28" s="432">
        <v>78</v>
      </c>
      <c r="G28" s="432">
        <v>86</v>
      </c>
      <c r="H28" s="344">
        <v>53</v>
      </c>
      <c r="I28" s="434">
        <v>56</v>
      </c>
    </row>
    <row r="29" spans="2:9" ht="20.100000000000001" customHeight="1">
      <c r="B29" s="441" t="s">
        <v>968</v>
      </c>
      <c r="C29" s="1108"/>
      <c r="D29" s="1107"/>
      <c r="E29" s="1107"/>
      <c r="F29" s="1107"/>
      <c r="G29" s="1106"/>
      <c r="H29" s="1105"/>
      <c r="I29" s="1104"/>
    </row>
    <row r="30" spans="2:9" ht="20.100000000000001" customHeight="1">
      <c r="B30" s="637" t="s">
        <v>967</v>
      </c>
      <c r="C30" s="1103">
        <v>45</v>
      </c>
      <c r="D30" s="341">
        <v>55</v>
      </c>
      <c r="E30" s="341">
        <v>85</v>
      </c>
      <c r="F30" s="341">
        <v>77</v>
      </c>
      <c r="G30" s="341">
        <v>54</v>
      </c>
      <c r="H30" s="341">
        <v>55</v>
      </c>
      <c r="I30" s="341">
        <v>51</v>
      </c>
    </row>
    <row r="31" spans="2:9" ht="20.100000000000001" customHeight="1">
      <c r="B31" s="431" t="s">
        <v>966</v>
      </c>
      <c r="C31" s="432">
        <v>45</v>
      </c>
      <c r="D31" s="432">
        <v>55</v>
      </c>
      <c r="E31" s="432">
        <v>85</v>
      </c>
      <c r="F31" s="432">
        <v>77</v>
      </c>
      <c r="G31" s="432">
        <v>54</v>
      </c>
      <c r="H31" s="344">
        <v>55</v>
      </c>
      <c r="I31" s="434">
        <v>51</v>
      </c>
    </row>
    <row r="32" spans="2:9" ht="20.100000000000001" customHeight="1">
      <c r="B32" s="15" t="s">
        <v>685</v>
      </c>
      <c r="C32" s="982"/>
      <c r="D32" s="120"/>
      <c r="E32" s="120"/>
      <c r="F32" s="120"/>
      <c r="G32" s="44"/>
      <c r="H32" s="1101"/>
      <c r="I32" s="1100"/>
    </row>
    <row r="33" spans="2:13" ht="20.100000000000001" customHeight="1">
      <c r="B33" s="363" t="s">
        <v>965</v>
      </c>
      <c r="C33" s="376">
        <v>149</v>
      </c>
      <c r="D33" s="351">
        <v>125</v>
      </c>
      <c r="E33" s="351">
        <v>124</v>
      </c>
      <c r="F33" s="351">
        <v>107</v>
      </c>
      <c r="G33" s="358">
        <v>118</v>
      </c>
      <c r="H33" s="366">
        <v>108</v>
      </c>
      <c r="I33" s="1102">
        <v>93</v>
      </c>
    </row>
    <row r="34" spans="2:13" ht="20.100000000000001" customHeight="1">
      <c r="B34" s="363" t="s">
        <v>964</v>
      </c>
      <c r="C34" s="376">
        <v>8</v>
      </c>
      <c r="D34" s="120">
        <v>10</v>
      </c>
      <c r="E34" s="120">
        <v>9</v>
      </c>
      <c r="F34" s="120">
        <v>12</v>
      </c>
      <c r="G34" s="44">
        <v>10</v>
      </c>
      <c r="H34" s="1101">
        <v>10</v>
      </c>
      <c r="I34" s="1100">
        <v>10</v>
      </c>
    </row>
    <row r="35" spans="2:13" ht="20.100000000000001" customHeight="1">
      <c r="B35" s="365" t="s">
        <v>963</v>
      </c>
      <c r="C35" s="377">
        <v>16</v>
      </c>
      <c r="D35" s="1099">
        <v>15</v>
      </c>
      <c r="E35" s="1099">
        <v>15</v>
      </c>
      <c r="F35" s="1099">
        <v>15</v>
      </c>
      <c r="G35" s="1098">
        <v>17</v>
      </c>
      <c r="H35" s="1097">
        <v>17</v>
      </c>
      <c r="I35" s="1096">
        <v>18</v>
      </c>
    </row>
    <row r="36" spans="2:13" ht="20.100000000000001" customHeight="1">
      <c r="B36" s="433" t="s">
        <v>962</v>
      </c>
      <c r="C36" s="432">
        <v>173</v>
      </c>
      <c r="D36" s="1095">
        <v>150</v>
      </c>
      <c r="E36" s="1095">
        <v>148</v>
      </c>
      <c r="F36" s="1095">
        <v>134</v>
      </c>
      <c r="G36" s="1095">
        <v>144</v>
      </c>
      <c r="H36" s="1094">
        <v>135</v>
      </c>
      <c r="I36" s="1093">
        <v>121</v>
      </c>
    </row>
    <row r="37" spans="2:13" ht="20.100000000000001" customHeight="1">
      <c r="B37" s="1092" t="s">
        <v>961</v>
      </c>
      <c r="C37" s="1091">
        <v>1779</v>
      </c>
      <c r="D37" s="1091">
        <v>1793</v>
      </c>
      <c r="E37" s="1091">
        <v>1818</v>
      </c>
      <c r="F37" s="1091">
        <v>1769</v>
      </c>
      <c r="G37" s="1091">
        <v>1749</v>
      </c>
      <c r="H37" s="1090">
        <v>1710</v>
      </c>
      <c r="I37" s="1089">
        <v>1987</v>
      </c>
      <c r="M37" s="1088"/>
    </row>
    <row r="38" spans="2:13" ht="13.5" customHeight="1"/>
    <row r="40" spans="2:13" ht="14.25" customHeight="1">
      <c r="B40" s="1220" t="s">
        <v>960</v>
      </c>
      <c r="C40" s="1220"/>
      <c r="D40" s="1220"/>
      <c r="E40" s="1220"/>
      <c r="F40" s="1220"/>
      <c r="G40" s="1220"/>
      <c r="H40" s="1220"/>
    </row>
    <row r="41" spans="2:13" ht="14.25" customHeight="1">
      <c r="B41" s="1216" t="s">
        <v>959</v>
      </c>
      <c r="C41" s="1216"/>
      <c r="D41" s="1216"/>
      <c r="E41" s="1216"/>
      <c r="F41" s="1216"/>
      <c r="G41" s="1216"/>
      <c r="H41" s="1216"/>
    </row>
    <row r="42" spans="2:13" ht="14.25" customHeight="1">
      <c r="B42" s="1239" t="s">
        <v>1091</v>
      </c>
      <c r="C42" s="1239"/>
      <c r="D42" s="1239"/>
      <c r="E42" s="1239"/>
      <c r="F42" s="1239"/>
      <c r="G42" s="1239"/>
      <c r="H42" s="1239"/>
      <c r="I42" s="1087"/>
    </row>
    <row r="43" spans="2:13" ht="14.25" customHeight="1">
      <c r="B43" s="1086" t="s">
        <v>1092</v>
      </c>
      <c r="C43" s="1086"/>
      <c r="D43" s="1086"/>
      <c r="E43" s="1086"/>
      <c r="F43" s="1086"/>
      <c r="G43" s="1086"/>
      <c r="H43" s="1086"/>
      <c r="I43" s="1086"/>
    </row>
    <row r="44" spans="2:13" ht="14.25" customHeight="1">
      <c r="B44" s="1086" t="s">
        <v>1093</v>
      </c>
      <c r="C44" s="1086"/>
      <c r="D44" s="1086"/>
      <c r="E44" s="1086"/>
      <c r="F44" s="1086"/>
      <c r="G44" s="1086"/>
      <c r="H44" s="1086"/>
      <c r="I44" s="1086"/>
    </row>
    <row r="45" spans="2:13" ht="14.25" customHeight="1">
      <c r="B45" s="1086"/>
      <c r="C45" s="1086"/>
      <c r="D45" s="1086"/>
      <c r="E45" s="1086"/>
      <c r="F45" s="1086"/>
      <c r="G45" s="1086"/>
      <c r="H45" s="1086"/>
      <c r="I45" s="1086"/>
    </row>
  </sheetData>
  <mergeCells count="5">
    <mergeCell ref="B2:H2"/>
    <mergeCell ref="B3:H3"/>
    <mergeCell ref="B41:H41"/>
    <mergeCell ref="B40:H40"/>
    <mergeCell ref="B42:H42"/>
  </mergeCells>
  <pageMargins left="0.75" right="0.75" top="1" bottom="1" header="0.5" footer="0.5"/>
  <pageSetup paperSize="9" scale="72" orientation="portrait" horizontalDpi="4294967292" verticalDpi="4294967292"/>
  <drawing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75">
    <tabColor rgb="FFCF3087"/>
  </sheetPr>
  <dimension ref="B2:I22"/>
  <sheetViews>
    <sheetView showGridLines="0" workbookViewId="0"/>
  </sheetViews>
  <sheetFormatPr defaultColWidth="10.875" defaultRowHeight="20.100000000000001" customHeight="1"/>
  <cols>
    <col min="1" max="1" width="5.5" style="468" customWidth="1"/>
    <col min="2" max="2" width="39.375" style="468" customWidth="1"/>
    <col min="3" max="4" width="10.875" style="468" customWidth="1"/>
    <col min="5" max="16384" width="10.875" style="468"/>
  </cols>
  <sheetData>
    <row r="2" spans="2:8" ht="20.100000000000001" customHeight="1">
      <c r="B2" s="1156" t="str">
        <f>UPPER("Petroleum product sales (excluding trading and bulk sales)")</f>
        <v>PETROLEUM PRODUCT SALES (EXCLUDING TRADING AND BULK SALES)</v>
      </c>
      <c r="C2" s="1156"/>
      <c r="D2" s="1156"/>
      <c r="E2" s="1156"/>
      <c r="F2" s="1156"/>
      <c r="G2" s="1156"/>
      <c r="H2" s="1156"/>
    </row>
    <row r="3" spans="2:8" ht="20.100000000000001" customHeight="1">
      <c r="B3" s="1238" t="s">
        <v>991</v>
      </c>
      <c r="C3" s="1238"/>
      <c r="D3" s="1238"/>
      <c r="E3" s="1238"/>
      <c r="F3" s="1238"/>
      <c r="G3" s="1238"/>
      <c r="H3" s="1238"/>
    </row>
    <row r="5" spans="2:8" ht="20.100000000000001" customHeight="1">
      <c r="B5" s="212" t="s">
        <v>990</v>
      </c>
      <c r="C5" s="214">
        <v>2017</v>
      </c>
      <c r="D5" s="214">
        <v>2016</v>
      </c>
      <c r="E5" s="211">
        <v>2015</v>
      </c>
      <c r="F5" s="211">
        <v>2014</v>
      </c>
      <c r="G5" s="211">
        <v>2013</v>
      </c>
      <c r="H5" s="211">
        <v>2012</v>
      </c>
    </row>
    <row r="6" spans="2:8" ht="20.100000000000001" customHeight="1">
      <c r="B6" s="363" t="s">
        <v>989</v>
      </c>
      <c r="C6" s="982">
        <v>57</v>
      </c>
      <c r="D6" s="120">
        <v>53</v>
      </c>
      <c r="E6" s="120">
        <v>70</v>
      </c>
      <c r="F6" s="1120">
        <v>86</v>
      </c>
      <c r="G6" s="1120">
        <v>88</v>
      </c>
      <c r="H6" s="1120">
        <v>91</v>
      </c>
    </row>
    <row r="7" spans="2:8" ht="20.100000000000001" customHeight="1">
      <c r="B7" s="363" t="s">
        <v>988</v>
      </c>
      <c r="C7" s="982">
        <v>340</v>
      </c>
      <c r="D7" s="1121">
        <v>339</v>
      </c>
      <c r="E7" s="1121">
        <v>341</v>
      </c>
      <c r="F7" s="1120">
        <v>314</v>
      </c>
      <c r="G7" s="1120">
        <v>277</v>
      </c>
      <c r="H7" s="1120">
        <v>275</v>
      </c>
    </row>
    <row r="8" spans="2:8" ht="20.100000000000001" customHeight="1">
      <c r="B8" s="363" t="s">
        <v>987</v>
      </c>
      <c r="C8" s="982">
        <v>243</v>
      </c>
      <c r="D8" s="1121">
        <v>273</v>
      </c>
      <c r="E8" s="1121">
        <v>234</v>
      </c>
      <c r="F8" s="1120">
        <v>226</v>
      </c>
      <c r="G8" s="1120">
        <v>246</v>
      </c>
      <c r="H8" s="1120">
        <v>215</v>
      </c>
    </row>
    <row r="9" spans="2:8" ht="20.100000000000001" customHeight="1">
      <c r="B9" s="363" t="s">
        <v>914</v>
      </c>
      <c r="C9" s="982">
        <v>985</v>
      </c>
      <c r="D9" s="120">
        <v>977</v>
      </c>
      <c r="E9" s="120">
        <v>1018</v>
      </c>
      <c r="F9" s="1120">
        <v>995</v>
      </c>
      <c r="G9" s="1120">
        <v>980</v>
      </c>
      <c r="H9" s="1120">
        <v>956</v>
      </c>
    </row>
    <row r="10" spans="2:8" ht="20.100000000000001" customHeight="1">
      <c r="B10" s="363" t="s">
        <v>913</v>
      </c>
      <c r="C10" s="982">
        <v>32</v>
      </c>
      <c r="D10" s="120">
        <v>37</v>
      </c>
      <c r="E10" s="120">
        <v>42</v>
      </c>
      <c r="F10" s="1120">
        <v>39</v>
      </c>
      <c r="G10" s="1120">
        <v>45</v>
      </c>
      <c r="H10" s="1120">
        <v>65</v>
      </c>
    </row>
    <row r="11" spans="2:8" ht="20.100000000000001" customHeight="1">
      <c r="B11" s="363" t="s">
        <v>912</v>
      </c>
      <c r="C11" s="982">
        <v>39</v>
      </c>
      <c r="D11" s="120">
        <v>38</v>
      </c>
      <c r="E11" s="120">
        <v>39</v>
      </c>
      <c r="F11" s="1120">
        <v>37</v>
      </c>
      <c r="G11" s="1120">
        <v>37</v>
      </c>
      <c r="H11" s="1120">
        <v>38</v>
      </c>
    </row>
    <row r="12" spans="2:8" ht="20.100000000000001" customHeight="1">
      <c r="B12" s="363" t="s">
        <v>986</v>
      </c>
      <c r="C12" s="982">
        <v>14</v>
      </c>
      <c r="D12" s="120">
        <v>13</v>
      </c>
      <c r="E12" s="120">
        <v>14</v>
      </c>
      <c r="F12" s="1120">
        <v>15</v>
      </c>
      <c r="G12" s="1120">
        <v>15</v>
      </c>
      <c r="H12" s="1120">
        <v>15</v>
      </c>
    </row>
    <row r="13" spans="2:8" ht="20.100000000000001" customHeight="1">
      <c r="B13" s="363" t="s">
        <v>911</v>
      </c>
      <c r="C13" s="982">
        <v>44</v>
      </c>
      <c r="D13" s="120">
        <v>45</v>
      </c>
      <c r="E13" s="120">
        <v>45</v>
      </c>
      <c r="F13" s="1120">
        <v>40</v>
      </c>
      <c r="G13" s="1120">
        <v>45</v>
      </c>
      <c r="H13" s="1120">
        <v>43</v>
      </c>
    </row>
    <row r="14" spans="2:8" ht="20.100000000000001" customHeight="1">
      <c r="B14" s="1119" t="s">
        <v>910</v>
      </c>
      <c r="C14" s="1118">
        <v>25</v>
      </c>
      <c r="D14" s="1117">
        <v>18</v>
      </c>
      <c r="E14" s="1117">
        <v>15</v>
      </c>
      <c r="F14" s="1117">
        <v>17</v>
      </c>
      <c r="G14" s="1117">
        <v>16</v>
      </c>
      <c r="H14" s="1117">
        <v>12</v>
      </c>
    </row>
    <row r="15" spans="2:8" ht="20.100000000000001" customHeight="1">
      <c r="B15" s="1116" t="s">
        <v>36</v>
      </c>
      <c r="C15" s="1091">
        <v>1779</v>
      </c>
      <c r="D15" s="1091">
        <v>1793</v>
      </c>
      <c r="E15" s="1091">
        <v>1818</v>
      </c>
      <c r="F15" s="1091">
        <v>1769</v>
      </c>
      <c r="G15" s="1091">
        <v>1749</v>
      </c>
      <c r="H15" s="1091">
        <v>1710</v>
      </c>
    </row>
    <row r="16" spans="2:8" ht="20.100000000000001" customHeight="1">
      <c r="B16" s="142" t="s">
        <v>985</v>
      </c>
    </row>
    <row r="17" spans="2:9" ht="17.25" customHeight="1">
      <c r="B17" s="655"/>
      <c r="C17" s="655"/>
      <c r="D17" s="655"/>
      <c r="E17" s="655"/>
      <c r="F17" s="655"/>
      <c r="G17" s="655"/>
      <c r="H17" s="655"/>
    </row>
    <row r="18" spans="2:9" ht="17.25" customHeight="1">
      <c r="B18" s="1240"/>
      <c r="C18" s="1240"/>
      <c r="D18" s="1240"/>
      <c r="E18" s="1241"/>
      <c r="F18" s="1241"/>
      <c r="G18" s="1241"/>
      <c r="H18" s="1241"/>
      <c r="I18" s="1241"/>
    </row>
    <row r="19" spans="2:9" ht="17.25" customHeight="1">
      <c r="B19" s="1086"/>
      <c r="C19" s="1086"/>
      <c r="D19" s="1086"/>
      <c r="E19" s="1086"/>
      <c r="F19" s="1086"/>
      <c r="G19" s="1086"/>
      <c r="H19" s="1086"/>
      <c r="I19" s="1086"/>
    </row>
    <row r="20" spans="2:9" ht="17.25" customHeight="1">
      <c r="B20" s="1086"/>
      <c r="C20" s="1086"/>
      <c r="D20" s="1086"/>
      <c r="E20" s="1086"/>
      <c r="F20" s="1086"/>
      <c r="G20" s="1086"/>
      <c r="H20" s="1086"/>
      <c r="I20" s="1086"/>
    </row>
    <row r="21" spans="2:9" ht="17.25" customHeight="1">
      <c r="B21" s="1086"/>
      <c r="C21" s="1086"/>
      <c r="D21" s="1086"/>
      <c r="E21" s="1086"/>
      <c r="F21" s="1086"/>
      <c r="G21" s="1086"/>
      <c r="H21" s="1086"/>
      <c r="I21" s="1086"/>
    </row>
    <row r="22" spans="2:9" ht="17.25" customHeight="1">
      <c r="B22" s="1086"/>
      <c r="C22" s="1086"/>
      <c r="D22" s="1086"/>
      <c r="E22" s="1086"/>
      <c r="F22" s="1086"/>
      <c r="G22" s="1086"/>
      <c r="H22" s="1086"/>
      <c r="I22" s="1086"/>
    </row>
  </sheetData>
  <mergeCells count="3">
    <mergeCell ref="B2:H2"/>
    <mergeCell ref="B3:H3"/>
    <mergeCell ref="B18:I18"/>
  </mergeCells>
  <pageMargins left="0.75" right="0.75" top="1" bottom="1" header="0.5" footer="0.5"/>
  <pageSetup paperSize="9" scale="72" orientation="portrait" horizontalDpi="4294967292" verticalDpi="4294967292" r:id="rId1"/>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76">
    <tabColor rgb="FFCF3087"/>
    <pageSetUpPr fitToPage="1"/>
  </sheetPr>
  <dimension ref="B2:O41"/>
  <sheetViews>
    <sheetView showGridLines="0" zoomScaleNormal="100" zoomScalePageLayoutView="75" workbookViewId="0">
      <selection activeCell="B35" sqref="B35"/>
    </sheetView>
  </sheetViews>
  <sheetFormatPr defaultColWidth="10.875" defaultRowHeight="20.100000000000001" customHeight="1"/>
  <cols>
    <col min="1" max="1" width="5.5" style="468" customWidth="1"/>
    <col min="2" max="2" width="26.125" style="468" customWidth="1"/>
    <col min="3" max="4" width="10.875" style="468" customWidth="1"/>
    <col min="5" max="8" width="10.875" style="468"/>
    <col min="9" max="9" width="4" style="468" customWidth="1"/>
    <col min="10" max="16384" width="10.875" style="468"/>
  </cols>
  <sheetData>
    <row r="2" spans="2:15" ht="20.100000000000001" customHeight="1">
      <c r="B2" s="1156" t="s">
        <v>1003</v>
      </c>
      <c r="C2" s="1156"/>
      <c r="D2" s="1156"/>
      <c r="E2" s="1156"/>
      <c r="F2" s="1156"/>
      <c r="G2" s="1156"/>
      <c r="H2" s="1156"/>
      <c r="I2" s="1156"/>
      <c r="J2" s="1156"/>
      <c r="K2" s="1156"/>
      <c r="L2" s="1156"/>
      <c r="M2" s="1156"/>
      <c r="N2" s="1156"/>
      <c r="O2" s="1156"/>
    </row>
    <row r="4" spans="2:15" ht="20.100000000000001" customHeight="1">
      <c r="B4" s="1132" t="s">
        <v>45</v>
      </c>
      <c r="C4" s="214">
        <v>2017</v>
      </c>
      <c r="D4" s="214">
        <v>2016</v>
      </c>
      <c r="E4" s="214">
        <v>2015</v>
      </c>
      <c r="F4" s="214">
        <v>2014</v>
      </c>
      <c r="G4" s="1131">
        <v>2013</v>
      </c>
      <c r="H4" s="1130">
        <v>2012</v>
      </c>
    </row>
    <row r="5" spans="2:15" ht="20.100000000000001" customHeight="1">
      <c r="B5" s="15" t="s">
        <v>936</v>
      </c>
      <c r="C5" s="1114"/>
      <c r="D5" s="1111"/>
      <c r="E5" s="1111"/>
      <c r="F5" s="1111"/>
      <c r="G5" s="1110"/>
      <c r="H5" s="366"/>
      <c r="I5" s="37"/>
    </row>
    <row r="6" spans="2:15" ht="20.100000000000001" customHeight="1">
      <c r="B6" s="363" t="s">
        <v>1002</v>
      </c>
      <c r="C6" s="376">
        <v>3548</v>
      </c>
      <c r="D6" s="351">
        <v>3593</v>
      </c>
      <c r="E6" s="351">
        <v>3667</v>
      </c>
      <c r="F6" s="351">
        <v>3727</v>
      </c>
      <c r="G6" s="358">
        <v>3813</v>
      </c>
      <c r="H6" s="366">
        <v>3911</v>
      </c>
      <c r="I6" s="37"/>
    </row>
    <row r="7" spans="2:15" ht="20.100000000000001" customHeight="1">
      <c r="B7" s="363" t="s">
        <v>982</v>
      </c>
      <c r="C7" s="376">
        <v>910</v>
      </c>
      <c r="D7" s="351">
        <v>925</v>
      </c>
      <c r="E7" s="351">
        <v>928</v>
      </c>
      <c r="F7" s="351">
        <v>922</v>
      </c>
      <c r="G7" s="358">
        <v>923</v>
      </c>
      <c r="H7" s="366">
        <v>931</v>
      </c>
      <c r="I7" s="37"/>
    </row>
    <row r="8" spans="2:15" ht="20.100000000000001" customHeight="1">
      <c r="B8" s="363" t="s">
        <v>981</v>
      </c>
      <c r="C8" s="376">
        <v>1194</v>
      </c>
      <c r="D8" s="351">
        <v>1188</v>
      </c>
      <c r="E8" s="351">
        <v>1178</v>
      </c>
      <c r="F8" s="351">
        <v>1157</v>
      </c>
      <c r="G8" s="358">
        <v>1122</v>
      </c>
      <c r="H8" s="366">
        <v>1108</v>
      </c>
      <c r="I8" s="37"/>
      <c r="J8" s="468" t="s">
        <v>19</v>
      </c>
      <c r="N8" s="468" t="s">
        <v>19</v>
      </c>
    </row>
    <row r="9" spans="2:15" ht="20.100000000000001" customHeight="1">
      <c r="B9" s="363" t="s">
        <v>456</v>
      </c>
      <c r="C9" s="376">
        <v>2519</v>
      </c>
      <c r="D9" s="351">
        <v>2585</v>
      </c>
      <c r="E9" s="351">
        <v>2608</v>
      </c>
      <c r="F9" s="351">
        <v>2749</v>
      </c>
      <c r="G9" s="358">
        <v>3017</v>
      </c>
      <c r="H9" s="366">
        <v>3161</v>
      </c>
      <c r="I9" s="37"/>
    </row>
    <row r="10" spans="2:15" ht="20.100000000000001" customHeight="1">
      <c r="B10" s="363" t="s">
        <v>1001</v>
      </c>
      <c r="C10" s="376">
        <v>23</v>
      </c>
      <c r="D10" s="351">
        <v>18</v>
      </c>
      <c r="E10" s="351">
        <v>10</v>
      </c>
      <c r="F10" s="351">
        <v>2</v>
      </c>
      <c r="G10" s="366" t="s">
        <v>14</v>
      </c>
      <c r="H10" s="366" t="s">
        <v>14</v>
      </c>
      <c r="I10" s="37"/>
    </row>
    <row r="11" spans="2:15" ht="20.100000000000001" customHeight="1">
      <c r="B11" s="365" t="s">
        <v>1000</v>
      </c>
      <c r="C11" s="1129">
        <v>819</v>
      </c>
      <c r="D11" s="126">
        <v>801</v>
      </c>
      <c r="E11" s="126">
        <v>763</v>
      </c>
      <c r="F11" s="126">
        <v>740</v>
      </c>
      <c r="G11" s="359">
        <v>731</v>
      </c>
      <c r="H11" s="367">
        <v>700</v>
      </c>
      <c r="I11" s="37"/>
    </row>
    <row r="12" spans="2:15" ht="20.100000000000001" customHeight="1">
      <c r="B12" s="433" t="s">
        <v>978</v>
      </c>
      <c r="C12" s="438">
        <v>9013</v>
      </c>
      <c r="D12" s="432">
        <v>9110</v>
      </c>
      <c r="E12" s="432">
        <v>9154</v>
      </c>
      <c r="F12" s="432">
        <v>9297</v>
      </c>
      <c r="G12" s="432">
        <v>9606</v>
      </c>
      <c r="H12" s="344">
        <v>9811</v>
      </c>
      <c r="I12" s="37"/>
    </row>
    <row r="13" spans="2:15" ht="20.100000000000001" customHeight="1">
      <c r="B13" s="15" t="s">
        <v>43</v>
      </c>
      <c r="C13" s="198"/>
      <c r="D13" s="1111"/>
      <c r="E13" s="1111"/>
      <c r="F13" s="1111"/>
      <c r="G13" s="1110"/>
      <c r="H13" s="366"/>
      <c r="I13" s="37"/>
    </row>
    <row r="14" spans="2:15" ht="20.100000000000001" customHeight="1">
      <c r="B14" s="363" t="s">
        <v>977</v>
      </c>
      <c r="C14" s="376">
        <v>703</v>
      </c>
      <c r="D14" s="351">
        <v>687</v>
      </c>
      <c r="E14" s="351">
        <v>673</v>
      </c>
      <c r="F14" s="351">
        <v>653</v>
      </c>
      <c r="G14" s="358">
        <v>585</v>
      </c>
      <c r="H14" s="366">
        <v>490</v>
      </c>
      <c r="I14" s="37"/>
    </row>
    <row r="15" spans="2:15" ht="20.100000000000001" customHeight="1">
      <c r="B15" s="363" t="s">
        <v>976</v>
      </c>
      <c r="C15" s="376">
        <v>1649</v>
      </c>
      <c r="D15" s="351">
        <v>1572</v>
      </c>
      <c r="E15" s="351">
        <v>1509</v>
      </c>
      <c r="F15" s="351">
        <v>1502</v>
      </c>
      <c r="G15" s="358">
        <v>1379</v>
      </c>
      <c r="H15" s="366">
        <v>1336</v>
      </c>
      <c r="I15" s="37"/>
    </row>
    <row r="16" spans="2:15" ht="20.100000000000001" customHeight="1">
      <c r="B16" s="363" t="s">
        <v>975</v>
      </c>
      <c r="C16" s="376">
        <v>1005</v>
      </c>
      <c r="D16" s="351">
        <v>901</v>
      </c>
      <c r="E16" s="351">
        <v>882</v>
      </c>
      <c r="F16" s="351">
        <v>866</v>
      </c>
      <c r="G16" s="358">
        <v>845</v>
      </c>
      <c r="H16" s="366">
        <v>841</v>
      </c>
      <c r="I16" s="37"/>
    </row>
    <row r="17" spans="2:9" ht="20.100000000000001" customHeight="1">
      <c r="B17" s="363" t="s">
        <v>974</v>
      </c>
      <c r="C17" s="376">
        <v>590</v>
      </c>
      <c r="D17" s="351">
        <v>585</v>
      </c>
      <c r="E17" s="351">
        <v>592</v>
      </c>
      <c r="F17" s="351">
        <v>587</v>
      </c>
      <c r="G17" s="358">
        <v>578</v>
      </c>
      <c r="H17" s="366">
        <v>588</v>
      </c>
      <c r="I17" s="37"/>
    </row>
    <row r="18" spans="2:9" ht="20.100000000000001" customHeight="1">
      <c r="B18" s="365" t="s">
        <v>973</v>
      </c>
      <c r="C18" s="377">
        <v>430</v>
      </c>
      <c r="D18" s="126">
        <v>422</v>
      </c>
      <c r="E18" s="126">
        <v>402</v>
      </c>
      <c r="F18" s="126">
        <v>383</v>
      </c>
      <c r="G18" s="359">
        <v>339</v>
      </c>
      <c r="H18" s="367">
        <v>346</v>
      </c>
      <c r="I18" s="37"/>
    </row>
    <row r="19" spans="2:9" ht="20.100000000000001" customHeight="1">
      <c r="B19" s="433" t="s">
        <v>843</v>
      </c>
      <c r="C19" s="432">
        <v>4377</v>
      </c>
      <c r="D19" s="432">
        <v>4167</v>
      </c>
      <c r="E19" s="432">
        <v>4058</v>
      </c>
      <c r="F19" s="432">
        <v>3991</v>
      </c>
      <c r="G19" s="432">
        <v>3726</v>
      </c>
      <c r="H19" s="344">
        <v>3601</v>
      </c>
      <c r="I19" s="37"/>
    </row>
    <row r="20" spans="2:9" ht="20.100000000000001" customHeight="1">
      <c r="B20" s="15" t="s">
        <v>443</v>
      </c>
      <c r="C20" s="198"/>
      <c r="D20" s="1111"/>
      <c r="E20" s="1111"/>
      <c r="F20" s="1111"/>
      <c r="G20" s="1110"/>
      <c r="H20" s="366"/>
      <c r="I20" s="37"/>
    </row>
    <row r="21" spans="2:9" ht="20.100000000000001" customHeight="1">
      <c r="B21" s="365" t="s">
        <v>999</v>
      </c>
      <c r="C21" s="377">
        <v>555</v>
      </c>
      <c r="D21" s="126">
        <v>585</v>
      </c>
      <c r="E21" s="126">
        <v>464</v>
      </c>
      <c r="F21" s="126">
        <v>452</v>
      </c>
      <c r="G21" s="359">
        <v>438</v>
      </c>
      <c r="H21" s="367">
        <v>415</v>
      </c>
      <c r="I21" s="37"/>
    </row>
    <row r="22" spans="2:9" ht="20.100000000000001" customHeight="1">
      <c r="B22" s="433" t="s">
        <v>969</v>
      </c>
      <c r="C22" s="432">
        <v>555</v>
      </c>
      <c r="D22" s="432">
        <v>585</v>
      </c>
      <c r="E22" s="432">
        <v>464</v>
      </c>
      <c r="F22" s="432">
        <v>452</v>
      </c>
      <c r="G22" s="432">
        <v>438</v>
      </c>
      <c r="H22" s="344">
        <v>415</v>
      </c>
      <c r="I22" s="37"/>
    </row>
    <row r="23" spans="2:9" ht="20.100000000000001" customHeight="1">
      <c r="B23" s="141" t="s">
        <v>998</v>
      </c>
      <c r="C23" s="198"/>
      <c r="D23" s="1128"/>
      <c r="E23" s="1128"/>
      <c r="F23" s="1128"/>
      <c r="G23" s="1128"/>
      <c r="H23" s="1128"/>
      <c r="I23" s="37"/>
    </row>
    <row r="24" spans="2:9" ht="20.100000000000001" customHeight="1">
      <c r="B24" s="1127" t="s">
        <v>997</v>
      </c>
      <c r="C24" s="1103">
        <f>348+473</f>
        <v>821</v>
      </c>
      <c r="D24" s="342">
        <v>809</v>
      </c>
      <c r="E24" s="342">
        <v>816</v>
      </c>
      <c r="F24" s="342">
        <v>796</v>
      </c>
      <c r="G24" s="342">
        <v>770</v>
      </c>
      <c r="H24" s="342">
        <v>637</v>
      </c>
      <c r="I24" s="37"/>
    </row>
    <row r="25" spans="2:9" ht="20.100000000000001" customHeight="1">
      <c r="B25" s="433" t="s">
        <v>966</v>
      </c>
      <c r="C25" s="432">
        <v>821</v>
      </c>
      <c r="D25" s="432">
        <v>809</v>
      </c>
      <c r="E25" s="432">
        <v>816</v>
      </c>
      <c r="F25" s="432">
        <v>796</v>
      </c>
      <c r="G25" s="432">
        <v>770</v>
      </c>
      <c r="H25" s="344">
        <v>637</v>
      </c>
      <c r="I25" s="37"/>
    </row>
    <row r="26" spans="2:9" ht="20.100000000000001" customHeight="1">
      <c r="B26" s="15" t="s">
        <v>685</v>
      </c>
      <c r="C26" s="198"/>
      <c r="D26" s="1111"/>
      <c r="E26" s="1111"/>
      <c r="F26" s="1111"/>
      <c r="G26" s="1110"/>
      <c r="H26" s="366"/>
      <c r="I26" s="37"/>
    </row>
    <row r="27" spans="2:9" ht="20.100000000000001" customHeight="1">
      <c r="B27" s="363" t="s">
        <v>996</v>
      </c>
      <c r="C27" s="376">
        <v>1598</v>
      </c>
      <c r="D27" s="351">
        <v>1530</v>
      </c>
      <c r="E27" s="351">
        <v>1276</v>
      </c>
      <c r="F27" s="351">
        <v>734</v>
      </c>
      <c r="G27" s="358">
        <v>716</v>
      </c>
      <c r="H27" s="366">
        <v>669</v>
      </c>
      <c r="I27" s="342"/>
    </row>
    <row r="28" spans="2:9" ht="20.100000000000001" customHeight="1">
      <c r="B28" s="363" t="s">
        <v>964</v>
      </c>
      <c r="C28" s="376">
        <v>101</v>
      </c>
      <c r="D28" s="351">
        <v>100</v>
      </c>
      <c r="E28" s="351">
        <v>96</v>
      </c>
      <c r="F28" s="351">
        <v>91</v>
      </c>
      <c r="G28" s="358">
        <v>90</v>
      </c>
      <c r="H28" s="366">
        <v>88</v>
      </c>
      <c r="I28" s="342"/>
    </row>
    <row r="29" spans="2:9" ht="20.100000000000001" customHeight="1">
      <c r="B29" s="365" t="s">
        <v>963</v>
      </c>
      <c r="C29" s="1126">
        <v>165</v>
      </c>
      <c r="D29" s="126">
        <v>160</v>
      </c>
      <c r="E29" s="126">
        <v>159</v>
      </c>
      <c r="F29" s="126">
        <v>208</v>
      </c>
      <c r="G29" s="359">
        <v>205</v>
      </c>
      <c r="H29" s="367">
        <v>204</v>
      </c>
      <c r="I29" s="342"/>
    </row>
    <row r="30" spans="2:9" ht="20.100000000000001" customHeight="1">
      <c r="B30" s="433" t="s">
        <v>962</v>
      </c>
      <c r="C30" s="438">
        <v>1864</v>
      </c>
      <c r="D30" s="432">
        <v>1790</v>
      </c>
      <c r="E30" s="432">
        <v>1531</v>
      </c>
      <c r="F30" s="432">
        <v>1033</v>
      </c>
      <c r="G30" s="432">
        <v>1011</v>
      </c>
      <c r="H30" s="344">
        <v>961</v>
      </c>
      <c r="I30" s="37"/>
    </row>
    <row r="31" spans="2:9" ht="20.100000000000001" customHeight="1">
      <c r="B31" s="431" t="s">
        <v>995</v>
      </c>
      <c r="C31" s="438">
        <f>15338+473</f>
        <v>15811</v>
      </c>
      <c r="D31" s="1125">
        <v>15210</v>
      </c>
      <c r="E31" s="1125">
        <v>15257</v>
      </c>
      <c r="F31" s="1125">
        <v>14829</v>
      </c>
      <c r="G31" s="672">
        <v>14820</v>
      </c>
      <c r="H31" s="677">
        <v>14725</v>
      </c>
      <c r="I31" s="37"/>
    </row>
    <row r="32" spans="2:9" ht="20.100000000000001" customHeight="1">
      <c r="B32" s="1092" t="s">
        <v>961</v>
      </c>
      <c r="C32" s="1124">
        <f>16157+473</f>
        <v>16630</v>
      </c>
      <c r="D32" s="1123">
        <v>16461</v>
      </c>
      <c r="E32" s="1123">
        <v>16023</v>
      </c>
      <c r="F32" s="1123">
        <v>15569</v>
      </c>
      <c r="G32" s="1091">
        <v>15551</v>
      </c>
      <c r="H32" s="1090">
        <v>15425</v>
      </c>
      <c r="I32" s="37"/>
    </row>
    <row r="33" spans="2:15" ht="14.1" customHeight="1">
      <c r="E33" s="55"/>
      <c r="I33" s="37"/>
    </row>
    <row r="34" spans="2:15" ht="15" customHeight="1">
      <c r="C34" s="655"/>
      <c r="D34" s="655"/>
      <c r="E34" s="655"/>
      <c r="F34" s="655"/>
      <c r="G34" s="655"/>
      <c r="H34" s="655"/>
      <c r="I34" s="37"/>
      <c r="J34" s="655"/>
      <c r="K34" s="655"/>
      <c r="M34" s="655"/>
      <c r="N34" s="655"/>
      <c r="O34" s="655"/>
    </row>
    <row r="35" spans="2:15" ht="15" customHeight="1">
      <c r="B35" s="1086" t="s">
        <v>994</v>
      </c>
      <c r="C35" s="1086"/>
      <c r="D35" s="1086"/>
      <c r="E35" s="1086"/>
      <c r="F35" s="1086"/>
      <c r="G35" s="1086"/>
      <c r="H35" s="1086"/>
      <c r="I35" s="37"/>
    </row>
    <row r="36" spans="2:15" ht="15" customHeight="1">
      <c r="B36" s="1086" t="s">
        <v>993</v>
      </c>
      <c r="C36" s="1086"/>
      <c r="D36" s="1086"/>
      <c r="E36" s="1086"/>
      <c r="F36" s="1086"/>
      <c r="G36" s="1086"/>
      <c r="H36" s="1086"/>
      <c r="I36" s="37"/>
    </row>
    <row r="37" spans="2:15" ht="15" customHeight="1">
      <c r="B37" s="1086" t="s">
        <v>992</v>
      </c>
      <c r="C37" s="1122"/>
      <c r="D37" s="1122"/>
      <c r="E37" s="1122"/>
      <c r="F37" s="655"/>
      <c r="G37" s="655"/>
      <c r="H37" s="655"/>
      <c r="I37" s="655"/>
    </row>
    <row r="38" spans="2:15" ht="20.100000000000001" customHeight="1">
      <c r="B38" s="1086"/>
      <c r="I38" s="655"/>
    </row>
    <row r="39" spans="2:15" ht="20.100000000000001" customHeight="1">
      <c r="I39" s="655"/>
    </row>
    <row r="40" spans="2:15" ht="20.100000000000001" customHeight="1">
      <c r="I40" s="655"/>
    </row>
    <row r="41" spans="2:15" ht="20.100000000000001" customHeight="1">
      <c r="I41" s="655"/>
    </row>
  </sheetData>
  <mergeCells count="1">
    <mergeCell ref="B2:O2"/>
  </mergeCells>
  <pageMargins left="0.74803149606299213" right="0.74803149606299213" top="0.98425196850393704" bottom="0.98425196850393704" header="0.51181102362204722" footer="0.51181102362204722"/>
  <pageSetup paperSize="9" scale="62" orientation="landscape" horizontalDpi="4294967292" verticalDpi="429496729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8">
    <tabColor rgb="FF0076BD"/>
    <pageSetUpPr fitToPage="1"/>
  </sheetPr>
  <dimension ref="B2:H30"/>
  <sheetViews>
    <sheetView showGridLines="0" view="pageBreakPreview" zoomScaleNormal="85" zoomScaleSheetLayoutView="100" zoomScalePageLayoutView="85" workbookViewId="0">
      <selection activeCell="H17" sqref="H17"/>
    </sheetView>
  </sheetViews>
  <sheetFormatPr defaultColWidth="11" defaultRowHeight="20.100000000000001" customHeight="1"/>
  <cols>
    <col min="1" max="1" width="5.5" style="451" customWidth="1"/>
    <col min="2" max="2" width="59" style="451" customWidth="1"/>
    <col min="3" max="8" width="10.5" style="451" customWidth="1"/>
    <col min="9" max="11" width="11" style="451"/>
    <col min="12" max="12" width="10.375" style="451" customWidth="1"/>
    <col min="13" max="13" width="0" style="451" hidden="1" customWidth="1"/>
    <col min="14" max="16384" width="11" style="451"/>
  </cols>
  <sheetData>
    <row r="2" spans="2:8" ht="20.100000000000001" customHeight="1">
      <c r="B2" s="1156" t="str">
        <f>UPPER("Consolidated statement of income")</f>
        <v>CONSOLIDATED STATEMENT OF INCOME</v>
      </c>
      <c r="C2" s="1156"/>
      <c r="D2" s="1156"/>
      <c r="E2" s="1156"/>
      <c r="F2" s="1156"/>
      <c r="G2" s="1156"/>
      <c r="H2" s="1156"/>
    </row>
    <row r="4" spans="2:8" ht="20.100000000000001" customHeight="1">
      <c r="B4" s="21" t="s">
        <v>20</v>
      </c>
      <c r="C4" s="3"/>
      <c r="D4" s="3"/>
      <c r="E4" s="346"/>
      <c r="F4" s="346"/>
      <c r="G4" s="346"/>
      <c r="H4" s="346"/>
    </row>
    <row r="5" spans="2:8" ht="20.100000000000001" customHeight="1">
      <c r="B5" s="22" t="s">
        <v>160</v>
      </c>
      <c r="C5" s="333">
        <v>2017</v>
      </c>
      <c r="D5" s="333">
        <v>2016</v>
      </c>
      <c r="E5" s="333">
        <v>2015</v>
      </c>
      <c r="F5" s="333">
        <v>2014</v>
      </c>
      <c r="G5" s="333">
        <v>2013</v>
      </c>
    </row>
    <row r="6" spans="2:8" ht="20.100000000000001" customHeight="1">
      <c r="B6" s="18" t="s">
        <v>0</v>
      </c>
      <c r="C6" s="185">
        <v>171493</v>
      </c>
      <c r="D6" s="117">
        <v>149743</v>
      </c>
      <c r="E6" s="117">
        <v>165357</v>
      </c>
      <c r="F6" s="117">
        <v>236122</v>
      </c>
      <c r="G6" s="328">
        <v>251725</v>
      </c>
    </row>
    <row r="7" spans="2:8" ht="20.100000000000001" customHeight="1">
      <c r="B7" s="363" t="s">
        <v>21</v>
      </c>
      <c r="C7" s="186">
        <v>-22394</v>
      </c>
      <c r="D7" s="118">
        <v>-21818</v>
      </c>
      <c r="E7" s="118">
        <v>-21936</v>
      </c>
      <c r="F7" s="118">
        <v>-24104</v>
      </c>
      <c r="G7" s="366">
        <v>-23756</v>
      </c>
    </row>
    <row r="8" spans="2:8" ht="20.100000000000001" customHeight="1">
      <c r="B8" s="507" t="s">
        <v>198</v>
      </c>
      <c r="C8" s="187">
        <v>149099</v>
      </c>
      <c r="D8" s="119">
        <v>127925</v>
      </c>
      <c r="E8" s="119">
        <v>143421</v>
      </c>
      <c r="F8" s="119">
        <v>212018</v>
      </c>
      <c r="G8" s="329">
        <v>227969</v>
      </c>
    </row>
    <row r="9" spans="2:8" ht="20.100000000000001" customHeight="1">
      <c r="B9" s="363" t="s">
        <v>22</v>
      </c>
      <c r="C9" s="186">
        <v>-99411</v>
      </c>
      <c r="D9" s="118">
        <v>-83377</v>
      </c>
      <c r="E9" s="118">
        <v>-96671</v>
      </c>
      <c r="F9" s="118">
        <v>-152975</v>
      </c>
      <c r="G9" s="366">
        <v>-160849</v>
      </c>
    </row>
    <row r="10" spans="2:8" ht="20.100000000000001" customHeight="1">
      <c r="B10" s="363" t="s">
        <v>23</v>
      </c>
      <c r="C10" s="186">
        <v>-24966</v>
      </c>
      <c r="D10" s="118">
        <v>-24302</v>
      </c>
      <c r="E10" s="118">
        <v>-24345</v>
      </c>
      <c r="F10" s="118">
        <v>-28349</v>
      </c>
      <c r="G10" s="366">
        <v>-28764</v>
      </c>
    </row>
    <row r="11" spans="2:8" ht="20.100000000000001" customHeight="1">
      <c r="B11" s="363" t="s">
        <v>24</v>
      </c>
      <c r="C11" s="186">
        <v>-864</v>
      </c>
      <c r="D11" s="118">
        <v>-1264</v>
      </c>
      <c r="E11" s="118">
        <v>-1991</v>
      </c>
      <c r="F11" s="118">
        <v>-1964</v>
      </c>
      <c r="G11" s="366">
        <v>-2169</v>
      </c>
    </row>
    <row r="12" spans="2:8" ht="20.100000000000001" customHeight="1">
      <c r="B12" s="363" t="s">
        <v>250</v>
      </c>
      <c r="C12" s="186">
        <v>-16103</v>
      </c>
      <c r="D12" s="118">
        <v>-13523</v>
      </c>
      <c r="E12" s="118">
        <v>-17720</v>
      </c>
      <c r="F12" s="118">
        <v>-19656</v>
      </c>
      <c r="G12" s="366">
        <v>-11994</v>
      </c>
    </row>
    <row r="13" spans="2:8" ht="20.100000000000001" customHeight="1">
      <c r="B13" s="363" t="s">
        <v>25</v>
      </c>
      <c r="C13" s="186">
        <v>3811</v>
      </c>
      <c r="D13" s="118">
        <v>1299</v>
      </c>
      <c r="E13" s="118">
        <v>3606</v>
      </c>
      <c r="F13" s="118">
        <v>2577</v>
      </c>
      <c r="G13" s="366">
        <v>2290</v>
      </c>
    </row>
    <row r="14" spans="2:8" ht="20.100000000000001" customHeight="1">
      <c r="B14" s="17" t="s">
        <v>26</v>
      </c>
      <c r="C14" s="187">
        <v>-1034</v>
      </c>
      <c r="D14" s="119">
        <v>-1027</v>
      </c>
      <c r="E14" s="119">
        <v>-1577</v>
      </c>
      <c r="F14" s="119">
        <v>-954</v>
      </c>
      <c r="G14" s="329">
        <v>-2800</v>
      </c>
    </row>
    <row r="15" spans="2:8" ht="20.100000000000001" customHeight="1">
      <c r="B15" s="363" t="s">
        <v>27</v>
      </c>
      <c r="C15" s="186">
        <v>-1396</v>
      </c>
      <c r="D15" s="118">
        <v>-1108</v>
      </c>
      <c r="E15" s="118">
        <v>-967</v>
      </c>
      <c r="F15" s="118">
        <v>-748</v>
      </c>
      <c r="G15" s="366">
        <v>-889</v>
      </c>
    </row>
    <row r="16" spans="2:8" ht="20.100000000000001" customHeight="1">
      <c r="B16" s="363" t="s">
        <v>251</v>
      </c>
      <c r="C16" s="186">
        <v>-138</v>
      </c>
      <c r="D16" s="118">
        <v>4</v>
      </c>
      <c r="E16" s="118">
        <v>94</v>
      </c>
      <c r="F16" s="118">
        <v>108</v>
      </c>
      <c r="G16" s="366">
        <v>85</v>
      </c>
    </row>
    <row r="17" spans="2:8" ht="20.100000000000001" customHeight="1">
      <c r="B17" s="17" t="s">
        <v>199</v>
      </c>
      <c r="C17" s="187">
        <v>-1534</v>
      </c>
      <c r="D17" s="119">
        <v>-1104</v>
      </c>
      <c r="E17" s="119">
        <v>-873</v>
      </c>
      <c r="F17" s="119">
        <v>-640</v>
      </c>
      <c r="G17" s="329">
        <v>-804</v>
      </c>
    </row>
    <row r="18" spans="2:8" ht="20.100000000000001" customHeight="1">
      <c r="B18" s="363" t="s">
        <v>28</v>
      </c>
      <c r="C18" s="186">
        <v>957</v>
      </c>
      <c r="D18" s="118">
        <v>971</v>
      </c>
      <c r="E18" s="118">
        <v>882</v>
      </c>
      <c r="F18" s="118">
        <v>821</v>
      </c>
      <c r="G18" s="366">
        <v>696</v>
      </c>
    </row>
    <row r="19" spans="2:8" ht="20.100000000000001" customHeight="1">
      <c r="B19" s="17" t="s">
        <v>29</v>
      </c>
      <c r="C19" s="187">
        <v>-642</v>
      </c>
      <c r="D19" s="119">
        <v>-636</v>
      </c>
      <c r="E19" s="119">
        <v>-654</v>
      </c>
      <c r="F19" s="119">
        <v>-676</v>
      </c>
      <c r="G19" s="329">
        <v>-702</v>
      </c>
    </row>
    <row r="20" spans="2:8" ht="20.100000000000001" customHeight="1">
      <c r="B20" s="502" t="s">
        <v>30</v>
      </c>
      <c r="C20" s="506">
        <v>2015</v>
      </c>
      <c r="D20" s="505">
        <v>2214</v>
      </c>
      <c r="E20" s="505">
        <v>2361</v>
      </c>
      <c r="F20" s="505">
        <v>2662</v>
      </c>
      <c r="G20" s="330">
        <v>3415</v>
      </c>
    </row>
    <row r="21" spans="2:8" ht="20.100000000000001" customHeight="1">
      <c r="B21" s="502" t="s">
        <v>31</v>
      </c>
      <c r="C21" s="506">
        <v>-3029</v>
      </c>
      <c r="D21" s="505">
        <v>-970</v>
      </c>
      <c r="E21" s="505">
        <v>-1653</v>
      </c>
      <c r="F21" s="505">
        <v>-8614</v>
      </c>
      <c r="G21" s="330">
        <v>-14767</v>
      </c>
    </row>
    <row r="22" spans="2:8" ht="20.100000000000001" customHeight="1">
      <c r="B22" s="441" t="s">
        <v>32</v>
      </c>
      <c r="C22" s="498">
        <v>8299</v>
      </c>
      <c r="D22" s="497">
        <v>6206</v>
      </c>
      <c r="E22" s="497">
        <v>4786</v>
      </c>
      <c r="F22" s="497">
        <v>4250</v>
      </c>
      <c r="G22" s="331">
        <v>11521</v>
      </c>
    </row>
    <row r="23" spans="2:8" ht="20.100000000000001" customHeight="1">
      <c r="B23" s="363" t="s">
        <v>33</v>
      </c>
      <c r="C23" s="186">
        <v>8631</v>
      </c>
      <c r="D23" s="118">
        <v>6196</v>
      </c>
      <c r="E23" s="118">
        <v>5087</v>
      </c>
      <c r="F23" s="118">
        <v>4244</v>
      </c>
      <c r="G23" s="366">
        <v>11228</v>
      </c>
    </row>
    <row r="24" spans="2:8" ht="20.100000000000001" customHeight="1">
      <c r="B24" s="17" t="s">
        <v>34</v>
      </c>
      <c r="C24" s="187">
        <v>-332</v>
      </c>
      <c r="D24" s="338">
        <v>10</v>
      </c>
      <c r="E24" s="338">
        <v>-301</v>
      </c>
      <c r="F24" s="338">
        <v>6</v>
      </c>
      <c r="G24" s="367">
        <v>293</v>
      </c>
    </row>
    <row r="25" spans="2:8" ht="20.100000000000001" customHeight="1">
      <c r="B25" s="502" t="s">
        <v>149</v>
      </c>
      <c r="C25" s="501">
        <v>3.36</v>
      </c>
      <c r="D25" s="504">
        <v>2.52</v>
      </c>
      <c r="E25" s="504">
        <v>2.17</v>
      </c>
      <c r="F25" s="504">
        <v>1.87</v>
      </c>
      <c r="G25" s="503">
        <v>4.96</v>
      </c>
    </row>
    <row r="26" spans="2:8" ht="20.100000000000001" customHeight="1">
      <c r="B26" s="502" t="s">
        <v>150</v>
      </c>
      <c r="C26" s="501">
        <v>3.34</v>
      </c>
      <c r="D26" s="500">
        <v>2.5099999999999998</v>
      </c>
      <c r="E26" s="500">
        <v>2.16</v>
      </c>
      <c r="F26" s="500">
        <v>1.86</v>
      </c>
      <c r="G26" s="499">
        <v>4.9400000000000004</v>
      </c>
    </row>
    <row r="27" spans="2:8" ht="20.100000000000001" customHeight="1">
      <c r="B27" s="441" t="s">
        <v>319</v>
      </c>
      <c r="C27" s="498">
        <f>+'Financial highlights (p7)'!C9</f>
        <v>10578</v>
      </c>
      <c r="D27" s="497">
        <v>8287</v>
      </c>
      <c r="E27" s="497">
        <v>10518</v>
      </c>
      <c r="F27" s="497">
        <v>12837</v>
      </c>
      <c r="G27" s="331">
        <v>14292</v>
      </c>
    </row>
    <row r="28" spans="2:8" ht="20.100000000000001" customHeight="1">
      <c r="B28" s="19" t="s">
        <v>151</v>
      </c>
      <c r="C28" s="496">
        <f>+'Financial highlights (p7)'!C10</f>
        <v>4.12</v>
      </c>
      <c r="D28" s="295">
        <v>3.38</v>
      </c>
      <c r="E28" s="295">
        <v>4.51</v>
      </c>
      <c r="F28" s="295">
        <v>5.63</v>
      </c>
      <c r="G28" s="296">
        <v>6.29</v>
      </c>
    </row>
    <row r="30" spans="2:8" ht="20.100000000000001" customHeight="1">
      <c r="B30" s="1161"/>
      <c r="C30" s="1161"/>
      <c r="D30" s="1161"/>
      <c r="E30" s="1161"/>
      <c r="F30" s="1161"/>
      <c r="G30" s="1161"/>
      <c r="H30" s="1161"/>
    </row>
  </sheetData>
  <mergeCells count="2">
    <mergeCell ref="B2:H2"/>
    <mergeCell ref="B30:H30"/>
  </mergeCells>
  <pageMargins left="0.74803149606299213" right="0.74803149606299213" top="0.98425196850393704" bottom="0.98425196850393704" header="0.51181102362204722" footer="0.51181102362204722"/>
  <pageSetup paperSize="9" scale="6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9">
    <tabColor rgb="FF0076BD"/>
    <pageSetUpPr fitToPage="1"/>
  </sheetPr>
  <dimension ref="B2:M29"/>
  <sheetViews>
    <sheetView showGridLines="0" view="pageBreakPreview" zoomScaleNormal="85" zoomScaleSheetLayoutView="100" zoomScalePageLayoutView="85" workbookViewId="0">
      <selection activeCell="H17" sqref="H17"/>
    </sheetView>
  </sheetViews>
  <sheetFormatPr defaultColWidth="11" defaultRowHeight="20.100000000000001" customHeight="1"/>
  <cols>
    <col min="1" max="1" width="5.5" style="451" customWidth="1"/>
    <col min="2" max="2" width="45.625" style="451" customWidth="1"/>
    <col min="3" max="11" width="10.5" style="451" customWidth="1"/>
    <col min="12" max="12" width="10.375" style="451" customWidth="1"/>
    <col min="13" max="13" width="10.5" style="451" hidden="1" customWidth="1"/>
    <col min="14" max="16384" width="11" style="451"/>
  </cols>
  <sheetData>
    <row r="2" spans="2:9" ht="20.100000000000001" customHeight="1">
      <c r="B2" s="1156" t="str">
        <f>UPPER("Sales")</f>
        <v>SALES</v>
      </c>
      <c r="C2" s="1156"/>
      <c r="D2" s="1156"/>
      <c r="E2" s="1156"/>
      <c r="F2" s="1156"/>
      <c r="G2" s="1156"/>
    </row>
    <row r="3" spans="2:9" ht="20.100000000000001" customHeight="1">
      <c r="B3" s="449"/>
      <c r="C3" s="449"/>
      <c r="D3" s="449"/>
    </row>
    <row r="4" spans="2:9" ht="20.100000000000001" customHeight="1">
      <c r="B4" s="22" t="s">
        <v>13</v>
      </c>
      <c r="C4" s="166">
        <v>2017</v>
      </c>
      <c r="D4" s="332">
        <v>2016</v>
      </c>
      <c r="E4" s="332">
        <v>2015</v>
      </c>
      <c r="F4" s="332">
        <v>2014</v>
      </c>
      <c r="G4" s="332">
        <v>2013</v>
      </c>
    </row>
    <row r="5" spans="2:9" ht="20.100000000000001" customHeight="1">
      <c r="B5" s="15" t="s">
        <v>222</v>
      </c>
      <c r="C5" s="175"/>
      <c r="D5" s="120"/>
      <c r="E5" s="120"/>
      <c r="F5" s="120"/>
      <c r="G5" s="44"/>
    </row>
    <row r="6" spans="2:9" ht="20.100000000000001" customHeight="1">
      <c r="B6" s="509" t="s">
        <v>318</v>
      </c>
      <c r="C6" s="376">
        <v>8477</v>
      </c>
      <c r="D6" s="351">
        <v>7629</v>
      </c>
      <c r="E6" s="351">
        <v>10297</v>
      </c>
      <c r="F6" s="351">
        <v>23484</v>
      </c>
      <c r="G6" s="351">
        <v>26367</v>
      </c>
      <c r="I6" s="303"/>
    </row>
    <row r="7" spans="2:9" ht="20.100000000000001" customHeight="1">
      <c r="B7" s="509" t="s">
        <v>317</v>
      </c>
      <c r="C7" s="376">
        <v>12854</v>
      </c>
      <c r="D7" s="351">
        <v>10124</v>
      </c>
      <c r="E7" s="351">
        <v>9149</v>
      </c>
      <c r="F7" s="351"/>
      <c r="G7" s="351"/>
      <c r="I7" s="303"/>
    </row>
    <row r="8" spans="2:9" ht="20.100000000000001" customHeight="1">
      <c r="B8" s="509" t="s">
        <v>146</v>
      </c>
      <c r="C8" s="376">
        <v>75505</v>
      </c>
      <c r="D8" s="351">
        <v>65632</v>
      </c>
      <c r="E8" s="351">
        <v>70623</v>
      </c>
      <c r="F8" s="351">
        <v>106124</v>
      </c>
      <c r="G8" s="351">
        <v>114483</v>
      </c>
    </row>
    <row r="9" spans="2:9" ht="20.100000000000001" customHeight="1">
      <c r="B9" s="509" t="s">
        <v>147</v>
      </c>
      <c r="C9" s="376">
        <v>74634</v>
      </c>
      <c r="D9" s="351">
        <v>66351</v>
      </c>
      <c r="E9" s="351">
        <v>75282</v>
      </c>
      <c r="F9" s="351">
        <v>106509</v>
      </c>
      <c r="G9" s="351">
        <v>110873</v>
      </c>
    </row>
    <row r="10" spans="2:9" ht="20.100000000000001" customHeight="1">
      <c r="B10" s="508" t="s">
        <v>35</v>
      </c>
      <c r="C10" s="377">
        <v>23</v>
      </c>
      <c r="D10" s="126">
        <v>7</v>
      </c>
      <c r="E10" s="126">
        <v>6</v>
      </c>
      <c r="F10" s="126">
        <v>5</v>
      </c>
      <c r="G10" s="126">
        <v>2</v>
      </c>
    </row>
    <row r="11" spans="2:9" ht="20.100000000000001" customHeight="1">
      <c r="B11" s="20" t="s">
        <v>36</v>
      </c>
      <c r="C11" s="189">
        <f>+'Consol. stat. income (p10)'!C6</f>
        <v>171493</v>
      </c>
      <c r="D11" s="347">
        <v>149743</v>
      </c>
      <c r="E11" s="347">
        <v>165357</v>
      </c>
      <c r="F11" s="347">
        <v>236122</v>
      </c>
      <c r="G11" s="347">
        <v>251725</v>
      </c>
    </row>
    <row r="12" spans="2:9" ht="20.100000000000001" customHeight="1">
      <c r="B12" s="15" t="s">
        <v>37</v>
      </c>
      <c r="C12" s="190"/>
      <c r="D12" s="351"/>
      <c r="E12" s="351"/>
      <c r="F12" s="351"/>
      <c r="G12" s="351"/>
    </row>
    <row r="13" spans="2:9" ht="20.100000000000001" customHeight="1">
      <c r="B13" s="509" t="s">
        <v>318</v>
      </c>
      <c r="C13" s="376">
        <f>8477+22837</f>
        <v>31314</v>
      </c>
      <c r="D13" s="351">
        <f>7629+17759</f>
        <v>25388</v>
      </c>
      <c r="E13" s="351">
        <f>10297+18419</f>
        <v>28716</v>
      </c>
      <c r="F13" s="351">
        <v>52667</v>
      </c>
      <c r="G13" s="351">
        <v>64017</v>
      </c>
      <c r="I13" s="303"/>
    </row>
    <row r="14" spans="2:9" ht="20.100000000000001" customHeight="1">
      <c r="B14" s="509" t="s">
        <v>317</v>
      </c>
      <c r="C14" s="376">
        <f>12854+1180</f>
        <v>14034</v>
      </c>
      <c r="D14" s="351">
        <f>10124+1009</f>
        <v>11133</v>
      </c>
      <c r="E14" s="351">
        <f>9149+1246</f>
        <v>10395</v>
      </c>
      <c r="F14" s="351"/>
      <c r="G14" s="351"/>
      <c r="I14" s="303"/>
    </row>
    <row r="15" spans="2:9" ht="20.100000000000001" customHeight="1">
      <c r="B15" s="509" t="s">
        <v>146</v>
      </c>
      <c r="C15" s="376">
        <f>75505+26844</f>
        <v>102349</v>
      </c>
      <c r="D15" s="351">
        <f>65632+21467</f>
        <v>87099</v>
      </c>
      <c r="E15" s="351">
        <f>70623+26794</f>
        <v>97417</v>
      </c>
      <c r="F15" s="351">
        <v>151074</v>
      </c>
      <c r="G15" s="351">
        <v>166758</v>
      </c>
    </row>
    <row r="16" spans="2:9" ht="20.100000000000001" customHeight="1">
      <c r="B16" s="509" t="s">
        <v>147</v>
      </c>
      <c r="C16" s="376">
        <f>74634+857</f>
        <v>75491</v>
      </c>
      <c r="D16" s="351">
        <f>66351+744</f>
        <v>67095</v>
      </c>
      <c r="E16" s="351">
        <f>75282+911</f>
        <v>76193</v>
      </c>
      <c r="F16" s="351">
        <v>108124</v>
      </c>
      <c r="G16" s="351">
        <v>113032</v>
      </c>
    </row>
    <row r="17" spans="2:7" ht="20.100000000000001" customHeight="1">
      <c r="B17" s="509" t="s">
        <v>35</v>
      </c>
      <c r="C17" s="376">
        <f>23+374</f>
        <v>397</v>
      </c>
      <c r="D17" s="351">
        <f>7+307</f>
        <v>314</v>
      </c>
      <c r="E17" s="351">
        <f>218+6</f>
        <v>224</v>
      </c>
      <c r="F17" s="351">
        <v>241</v>
      </c>
      <c r="G17" s="351">
        <v>179</v>
      </c>
    </row>
    <row r="18" spans="2:7" ht="20.100000000000001" customHeight="1">
      <c r="B18" s="508" t="s">
        <v>38</v>
      </c>
      <c r="C18" s="377">
        <v>-52092</v>
      </c>
      <c r="D18" s="126">
        <v>-41286</v>
      </c>
      <c r="E18" s="126">
        <v>-47588</v>
      </c>
      <c r="F18" s="126">
        <v>-75984</v>
      </c>
      <c r="G18" s="126">
        <v>-92261</v>
      </c>
    </row>
    <row r="19" spans="2:7" ht="20.100000000000001" customHeight="1">
      <c r="B19" s="20" t="s">
        <v>36</v>
      </c>
      <c r="C19" s="191">
        <f>+C11</f>
        <v>171493</v>
      </c>
      <c r="D19" s="347">
        <v>149743</v>
      </c>
      <c r="E19" s="347">
        <v>165357</v>
      </c>
      <c r="F19" s="347">
        <v>236122</v>
      </c>
      <c r="G19" s="347">
        <v>251725</v>
      </c>
    </row>
    <row r="20" spans="2:7" ht="20.100000000000001" customHeight="1">
      <c r="B20" s="15" t="s">
        <v>39</v>
      </c>
      <c r="C20" s="190"/>
      <c r="D20" s="351"/>
      <c r="E20" s="351"/>
      <c r="F20" s="351"/>
      <c r="G20" s="351"/>
    </row>
    <row r="21" spans="2:7" ht="20.100000000000001" customHeight="1">
      <c r="B21" s="363" t="s">
        <v>40</v>
      </c>
      <c r="C21" s="376">
        <v>39032</v>
      </c>
      <c r="D21" s="351">
        <v>33472</v>
      </c>
      <c r="E21" s="351">
        <v>36536</v>
      </c>
      <c r="F21" s="351">
        <v>51471</v>
      </c>
      <c r="G21" s="351">
        <v>57650</v>
      </c>
    </row>
    <row r="22" spans="2:7" ht="20.100000000000001" customHeight="1">
      <c r="B22" s="363" t="s">
        <v>41</v>
      </c>
      <c r="C22" s="376">
        <v>83255</v>
      </c>
      <c r="D22" s="351">
        <v>71551</v>
      </c>
      <c r="E22" s="351">
        <v>79463</v>
      </c>
      <c r="F22" s="351">
        <v>114747</v>
      </c>
      <c r="G22" s="351">
        <v>128661</v>
      </c>
    </row>
    <row r="23" spans="2:7" ht="20.100000000000001" customHeight="1">
      <c r="B23" s="363" t="s">
        <v>42</v>
      </c>
      <c r="C23" s="376">
        <v>16889</v>
      </c>
      <c r="D23" s="351">
        <v>15383</v>
      </c>
      <c r="E23" s="351">
        <v>14857</v>
      </c>
      <c r="F23" s="351">
        <v>23766</v>
      </c>
      <c r="G23" s="351">
        <v>22332</v>
      </c>
    </row>
    <row r="24" spans="2:7" ht="20.100000000000001" customHeight="1">
      <c r="B24" s="363" t="s">
        <v>43</v>
      </c>
      <c r="C24" s="376">
        <v>17581</v>
      </c>
      <c r="D24" s="351">
        <v>15294</v>
      </c>
      <c r="E24" s="351">
        <v>17612</v>
      </c>
      <c r="F24" s="351">
        <v>23281</v>
      </c>
      <c r="G24" s="351">
        <v>23146</v>
      </c>
    </row>
    <row r="25" spans="2:7" ht="20.100000000000001" customHeight="1">
      <c r="B25" s="365" t="s">
        <v>44</v>
      </c>
      <c r="C25" s="377">
        <v>14736</v>
      </c>
      <c r="D25" s="126">
        <v>14043</v>
      </c>
      <c r="E25" s="126">
        <v>16889</v>
      </c>
      <c r="F25" s="126">
        <v>22857</v>
      </c>
      <c r="G25" s="126">
        <v>19936</v>
      </c>
    </row>
    <row r="26" spans="2:7" ht="20.100000000000001" customHeight="1">
      <c r="B26" s="20" t="s">
        <v>36</v>
      </c>
      <c r="C26" s="191">
        <v>171493</v>
      </c>
      <c r="D26" s="347">
        <v>149743</v>
      </c>
      <c r="E26" s="347">
        <v>165357</v>
      </c>
      <c r="F26" s="347">
        <v>236122</v>
      </c>
      <c r="G26" s="347">
        <v>251725</v>
      </c>
    </row>
    <row r="27" spans="2:7" ht="20.100000000000001" customHeight="1">
      <c r="C27" s="42"/>
      <c r="D27" s="42"/>
      <c r="E27" s="42"/>
      <c r="F27" s="42"/>
      <c r="G27" s="42"/>
    </row>
    <row r="28" spans="2:7" ht="14.1" customHeight="1">
      <c r="B28" s="1161"/>
      <c r="C28" s="1161"/>
      <c r="D28" s="1161"/>
      <c r="E28" s="1161"/>
      <c r="F28" s="1161"/>
      <c r="G28" s="1161"/>
    </row>
    <row r="29" spans="2:7" ht="14.1" customHeight="1">
      <c r="B29" s="450"/>
      <c r="C29" s="450"/>
      <c r="D29" s="450"/>
      <c r="E29" s="450"/>
      <c r="F29" s="450"/>
      <c r="G29" s="450"/>
    </row>
  </sheetData>
  <mergeCells count="2">
    <mergeCell ref="B2:G2"/>
    <mergeCell ref="B28:G28"/>
  </mergeCells>
  <pageMargins left="0.74803149606299213" right="0.74803149606299213" top="0.98425196850393704" bottom="0.98425196850393704" header="0.51181102362204722" footer="0.51181102362204722"/>
  <pageSetup paperSize="9" scale="7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76</vt:i4>
      </vt:variant>
      <vt:variant>
        <vt:lpstr>Named Ranges</vt:lpstr>
      </vt:variant>
      <vt:variant>
        <vt:i4>51</vt:i4>
      </vt:variant>
    </vt:vector>
  </HeadingPairs>
  <TitlesOfParts>
    <vt:vector size="127" baseType="lpstr">
      <vt:lpstr>Summary</vt:lpstr>
      <vt:lpstr>Note on FS (p7)</vt:lpstr>
      <vt:lpstr>Financial highlights (p7)</vt:lpstr>
      <vt:lpstr>Market environment (p7)</vt:lpstr>
      <vt:lpstr>Op. High. by quarter (p8-9)</vt:lpstr>
      <vt:lpstr>Fin. High. by quarter (p8-9)</vt:lpstr>
      <vt:lpstr>Market envir. price (p8-9)</vt:lpstr>
      <vt:lpstr>Consol. stat. income (p10)</vt:lpstr>
      <vt:lpstr>Sales (p11)</vt:lpstr>
      <vt:lpstr>Deprec. depl. &amp; impairme. (p11)</vt:lpstr>
      <vt:lpstr>Equity in income (loss) (p11)</vt:lpstr>
      <vt:lpstr>Income taxes (p11)</vt:lpstr>
      <vt:lpstr>Adj. items op. income (p12)</vt:lpstr>
      <vt:lpstr>Adj. items net income (p13)</vt:lpstr>
      <vt:lpstr>Cons. balance sheet in (p14)</vt:lpstr>
      <vt:lpstr>Net tangible &amp; intangible (p15)</vt:lpstr>
      <vt:lpstr>Property, plant &amp; equip. (p15)</vt:lpstr>
      <vt:lpstr>Non-current assets (p15)</vt:lpstr>
      <vt:lpstr>Non-current debt (p16)</vt:lpstr>
      <vt:lpstr>Consolidated Equity (p17)</vt:lpstr>
      <vt:lpstr>Net-debt-to-equity ratio (p18)</vt:lpstr>
      <vt:lpstr>Capital replacement cost (p18)</vt:lpstr>
      <vt:lpstr>Capital employed (p18)</vt:lpstr>
      <vt:lpstr>ROACE by bs (p19)</vt:lpstr>
      <vt:lpstr>Conso stat. cash flows (p20)</vt:lpstr>
      <vt:lpstr>Cash flows from op. (p20) </vt:lpstr>
      <vt:lpstr>﻿Gross investments (p21)</vt:lpstr>
      <vt:lpstr>Organic investments by bs (p21)</vt:lpstr>
      <vt:lpstr>Divestments by bs (p21)</vt:lpstr>
      <vt:lpstr>Share information (p23)</vt:lpstr>
      <vt:lpstr>Payroll (p24)</vt:lpstr>
      <vt:lpstr>Number of employees (p24)</vt:lpstr>
      <vt:lpstr>Financial highlights (p27)</vt:lpstr>
      <vt:lpstr>Production (p27)</vt:lpstr>
      <vt:lpstr>Proved reserves (p27)</vt:lpstr>
      <vt:lpstr>Key op. ratios Group (p28)</vt:lpstr>
      <vt:lpstr>Key op. ratios subs. (p28)</vt:lpstr>
      <vt:lpstr>Comb. liquids gas prod. (p29</vt:lpstr>
      <vt:lpstr>Liquids prod. (p30)</vt:lpstr>
      <vt:lpstr>Gas prod. (p31)</vt:lpstr>
      <vt:lpstr>Changes oil bitum. gas (p32-36)</vt:lpstr>
      <vt:lpstr>Changes oil res. (p37-40)</vt:lpstr>
      <vt:lpstr>Changes bitum. res. (p41)</vt:lpstr>
      <vt:lpstr>Changes gas res. (p42-45)</vt:lpstr>
      <vt:lpstr>Results op. activities (p46-47)</vt:lpstr>
      <vt:lpstr>Cost incurred (p48)</vt:lpstr>
      <vt:lpstr>Capitalized cost (p49-50)</vt:lpstr>
      <vt:lpstr>Net cash flows (p51-52)</vt:lpstr>
      <vt:lpstr>Changes net cash flows (p53)</vt:lpstr>
      <vt:lpstr>Oil Gas Acreage (p54)</vt:lpstr>
      <vt:lpstr>Nb. prod. wells (p55)</vt:lpstr>
      <vt:lpstr>Nb.prod.dry.wells drilled (p56)</vt:lpstr>
      <vt:lpstr>Explo.Devpt.wells (p57)</vt:lpstr>
      <vt:lpstr>Interests pipelines (p58)</vt:lpstr>
      <vt:lpstr>﻿Financial highlights (p93)</vt:lpstr>
      <vt:lpstr>Power gen. facilities (p93)</vt:lpstr>
      <vt:lpstr>LNG sales (p94) </vt:lpstr>
      <vt:lpstr>Pipeline gas sales (p98)</vt:lpstr>
      <vt:lpstr>Financial highlights (p103)</vt:lpstr>
      <vt:lpstr>Operational highlights (p103)</vt:lpstr>
      <vt:lpstr>Refinery capacity (p107)</vt:lpstr>
      <vt:lpstr>Distillation capacity (p107)</vt:lpstr>
      <vt:lpstr>Refinery throughput (p108)</vt:lpstr>
      <vt:lpstr>Utiliz. rate feedstocks (p108)</vt:lpstr>
      <vt:lpstr>Utiliz. rate crude (p108)</vt:lpstr>
      <vt:lpstr>Production levels (p108)</vt:lpstr>
      <vt:lpstr>Main prod. capacities (p109)</vt:lpstr>
      <vt:lpstr>Sales by geo. area (p109)</vt:lpstr>
      <vt:lpstr>Sales by activity (p 110)</vt:lpstr>
      <vt:lpstr>Sales by geo. area (p110)</vt:lpstr>
      <vt:lpstr>Sales by activity (p110)</vt:lpstr>
      <vt:lpstr>﻿Financial highlights (p113)</vt:lpstr>
      <vt:lpstr>Operational highlights (p113)</vt:lpstr>
      <vt:lpstr>Petrol sales by area (p117)</vt:lpstr>
      <vt:lpstr>Petrol. sales by product (p117)</vt:lpstr>
      <vt:lpstr>Service-Stations (p118)</vt:lpstr>
      <vt:lpstr>'﻿Financial highlights (p113)'!Print_Area</vt:lpstr>
      <vt:lpstr>'﻿Financial highlights (p93)'!Print_Area</vt:lpstr>
      <vt:lpstr>'﻿Gross investments (p21)'!Print_Area</vt:lpstr>
      <vt:lpstr>'Adj. items net income (p13)'!Print_Area</vt:lpstr>
      <vt:lpstr>'Adj. items op. income (p12)'!Print_Area</vt:lpstr>
      <vt:lpstr>'Capital employed (p18)'!Print_Area</vt:lpstr>
      <vt:lpstr>'Capital replacement cost (p18)'!Print_Area</vt:lpstr>
      <vt:lpstr>'Capitalized cost (p49-50)'!Print_Area</vt:lpstr>
      <vt:lpstr>'Cash flows from op. (p20) '!Print_Area</vt:lpstr>
      <vt:lpstr>'Changes gas res. (p42-45)'!Print_Area</vt:lpstr>
      <vt:lpstr>'Changes net cash flows (p53)'!Print_Area</vt:lpstr>
      <vt:lpstr>'Comb. liquids gas prod. (p29'!Print_Area</vt:lpstr>
      <vt:lpstr>'Cons. balance sheet in (p14)'!Print_Area</vt:lpstr>
      <vt:lpstr>'Conso stat. cash flows (p20)'!Print_Area</vt:lpstr>
      <vt:lpstr>'Consol. stat. income (p10)'!Print_Area</vt:lpstr>
      <vt:lpstr>'Cost incurred (p48)'!Print_Area</vt:lpstr>
      <vt:lpstr>'Deprec. depl. &amp; impairme. (p11)'!Print_Area</vt:lpstr>
      <vt:lpstr>'Divestments by bs (p21)'!Print_Area</vt:lpstr>
      <vt:lpstr>'Equity in income (loss) (p11)'!Print_Area</vt:lpstr>
      <vt:lpstr>'Fin. High. by quarter (p8-9)'!Print_Area</vt:lpstr>
      <vt:lpstr>'Financial highlights (p103)'!Print_Area</vt:lpstr>
      <vt:lpstr>'Financial highlights (p27)'!Print_Area</vt:lpstr>
      <vt:lpstr>'Financial highlights (p7)'!Print_Area</vt:lpstr>
      <vt:lpstr>'Gas prod. (p31)'!Print_Area</vt:lpstr>
      <vt:lpstr>'Income taxes (p11)'!Print_Area</vt:lpstr>
      <vt:lpstr>'Interests pipelines (p58)'!Print_Area</vt:lpstr>
      <vt:lpstr>'Key op. ratios Group (p28)'!Print_Area</vt:lpstr>
      <vt:lpstr>'Key op. ratios subs. (p28)'!Print_Area</vt:lpstr>
      <vt:lpstr>'Liquids prod. (p30)'!Print_Area</vt:lpstr>
      <vt:lpstr>'LNG sales (p94) '!Print_Area</vt:lpstr>
      <vt:lpstr>'Main prod. capacities (p109)'!Print_Area</vt:lpstr>
      <vt:lpstr>'Net tangible &amp; intangible (p15)'!Print_Area</vt:lpstr>
      <vt:lpstr>'Net-debt-to-equity ratio (p18)'!Print_Area</vt:lpstr>
      <vt:lpstr>'Non-current assets (p15)'!Print_Area</vt:lpstr>
      <vt:lpstr>'Non-current debt (p16)'!Print_Area</vt:lpstr>
      <vt:lpstr>'Number of employees (p24)'!Print_Area</vt:lpstr>
      <vt:lpstr>'Oil Gas Acreage (p54)'!Print_Area</vt:lpstr>
      <vt:lpstr>'Op. High. by quarter (p8-9)'!Print_Area</vt:lpstr>
      <vt:lpstr>'Operational highlights (p103)'!Print_Area</vt:lpstr>
      <vt:lpstr>'Organic investments by bs (p21)'!Print_Area</vt:lpstr>
      <vt:lpstr>'Payroll (p24)'!Print_Area</vt:lpstr>
      <vt:lpstr>'Pipeline gas sales (p98)'!Print_Area</vt:lpstr>
      <vt:lpstr>'Production (p27)'!Print_Area</vt:lpstr>
      <vt:lpstr>'Property, plant &amp; equip. (p15)'!Print_Area</vt:lpstr>
      <vt:lpstr>'Proved reserves (p27)'!Print_Area</vt:lpstr>
      <vt:lpstr>'ROACE by bs (p19)'!Print_Area</vt:lpstr>
      <vt:lpstr>'Sales (p11)'!Print_Area</vt:lpstr>
      <vt:lpstr>'Sales by geo. area (p109)'!Print_Area</vt:lpstr>
      <vt:lpstr>Summary!Print_Area</vt:lpstr>
      <vt:lpstr>'Utiliz. rate feedstocks (p108)'!Print_Area</vt:lpstr>
      <vt:lpstr>'Consolidated Equity (p17)'!Print_Titles</vt:lpstr>
    </vt:vector>
  </TitlesOfParts>
  <Company>TOTAL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J0358161</dc:creator>
  <cp:lastModifiedBy>Jin QIAN</cp:lastModifiedBy>
  <cp:lastPrinted>2017-04-13T15:46:09Z</cp:lastPrinted>
  <dcterms:created xsi:type="dcterms:W3CDTF">2014-01-10T14:37:04Z</dcterms:created>
  <dcterms:modified xsi:type="dcterms:W3CDTF">2018-04-26T10:15:37Z</dcterms:modified>
</cp:coreProperties>
</file>